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rthurChan\OneDrive\VS Code\PythonProject_ESE\Sample Excel\"/>
    </mc:Choice>
  </mc:AlternateContent>
  <xr:revisionPtr revIDLastSave="0" documentId="13_ncr:1_{C1B73AC2-C90C-484B-A336-8DBE77B38EE9}" xr6:coauthVersionLast="47" xr6:coauthVersionMax="47" xr10:uidLastSave="{00000000-0000-0000-0000-000000000000}"/>
  <bookViews>
    <workbookView xWindow="4020" yWindow="0" windowWidth="18432" windowHeight="1236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Nozzle!$A$1:$V$166</definedName>
    <definedName name="_xlnm._FilterDatabase" localSheetId="15" hidden="1">Sheet1!$A$1:$F$180</definedName>
    <definedName name="_xlnm._FilterDatabase" localSheetId="1" hidden="1">Stock_list!$A$1:$XFA$983</definedName>
    <definedName name="OLE_LINK12" localSheetId="1">Stock_list!#REF!</definedName>
    <definedName name="切片器_Item">#N/A</definedName>
    <definedName name="切片器_Warehouse">#N/A</definedName>
  </definedNames>
  <calcPr calcId="191028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9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R134" i="1"/>
  <c r="AS134" i="1"/>
  <c r="AR135" i="1"/>
  <c r="AS135" i="1"/>
  <c r="AR136" i="1"/>
  <c r="AS136" i="1"/>
  <c r="AR137" i="1"/>
  <c r="AS137" i="1"/>
  <c r="AR138" i="1"/>
  <c r="AS138" i="1"/>
  <c r="AR139" i="1"/>
  <c r="AS139" i="1"/>
  <c r="AR140" i="1"/>
  <c r="AS140" i="1"/>
  <c r="AR141" i="1"/>
  <c r="AS141" i="1"/>
  <c r="AR142" i="1"/>
  <c r="AS142" i="1"/>
  <c r="AR143" i="1"/>
  <c r="AS143" i="1"/>
  <c r="AR144" i="1"/>
  <c r="AS144" i="1"/>
  <c r="AR145" i="1"/>
  <c r="AS145" i="1"/>
  <c r="AR146" i="1"/>
  <c r="AS146" i="1"/>
  <c r="AR147" i="1"/>
  <c r="AS147" i="1"/>
  <c r="AR148" i="1"/>
  <c r="AS148" i="1"/>
  <c r="AR149" i="1"/>
  <c r="AS149" i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R159" i="1"/>
  <c r="AS159" i="1"/>
  <c r="AR160" i="1"/>
  <c r="AS160" i="1"/>
  <c r="AR161" i="1"/>
  <c r="AS161" i="1"/>
  <c r="AR162" i="1"/>
  <c r="AS162" i="1"/>
  <c r="AR163" i="1"/>
  <c r="AS163" i="1"/>
  <c r="AR164" i="1"/>
  <c r="AS164" i="1"/>
  <c r="AR165" i="1"/>
  <c r="AS165" i="1"/>
  <c r="AR166" i="1"/>
  <c r="AS166" i="1"/>
  <c r="AR167" i="1"/>
  <c r="AS167" i="1"/>
  <c r="AR168" i="1"/>
  <c r="AS168" i="1"/>
  <c r="AR169" i="1"/>
  <c r="AS169" i="1"/>
  <c r="AR170" i="1"/>
  <c r="AS170" i="1"/>
  <c r="AR171" i="1"/>
  <c r="AS171" i="1"/>
  <c r="AR172" i="1"/>
  <c r="AS172" i="1"/>
  <c r="AR173" i="1"/>
  <c r="AS173" i="1"/>
  <c r="AR174" i="1"/>
  <c r="AS174" i="1"/>
  <c r="AR175" i="1"/>
  <c r="AS175" i="1"/>
  <c r="AR176" i="1"/>
  <c r="AS176" i="1"/>
  <c r="AR177" i="1"/>
  <c r="AS177" i="1"/>
  <c r="AR178" i="1"/>
  <c r="AS178" i="1"/>
  <c r="AR179" i="1"/>
  <c r="AS179" i="1"/>
  <c r="AR180" i="1"/>
  <c r="AS180" i="1"/>
  <c r="AR181" i="1"/>
  <c r="AS181" i="1"/>
  <c r="AR182" i="1"/>
  <c r="AS182" i="1"/>
  <c r="AR183" i="1"/>
  <c r="AS183" i="1"/>
  <c r="AR184" i="1"/>
  <c r="AS184" i="1"/>
  <c r="AR185" i="1"/>
  <c r="AS185" i="1"/>
  <c r="AR186" i="1"/>
  <c r="AS186" i="1"/>
  <c r="AR187" i="1"/>
  <c r="AS187" i="1"/>
  <c r="AR188" i="1"/>
  <c r="AS188" i="1"/>
  <c r="AR189" i="1"/>
  <c r="AS189" i="1"/>
  <c r="AR190" i="1"/>
  <c r="AS190" i="1"/>
  <c r="AR191" i="1"/>
  <c r="AS191" i="1"/>
  <c r="AR192" i="1"/>
  <c r="AS192" i="1"/>
  <c r="AR193" i="1"/>
  <c r="AS193" i="1"/>
  <c r="AR194" i="1"/>
  <c r="AS194" i="1"/>
  <c r="AR195" i="1"/>
  <c r="AS195" i="1"/>
  <c r="AR196" i="1"/>
  <c r="AS196" i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R262" i="1"/>
  <c r="AS262" i="1"/>
  <c r="AR263" i="1"/>
  <c r="AS263" i="1"/>
  <c r="AR264" i="1"/>
  <c r="AS264" i="1"/>
  <c r="AR265" i="1"/>
  <c r="AS265" i="1"/>
  <c r="AR266" i="1"/>
  <c r="AS266" i="1"/>
  <c r="AR267" i="1"/>
  <c r="AS267" i="1"/>
  <c r="AR268" i="1"/>
  <c r="AS268" i="1"/>
  <c r="AR269" i="1"/>
  <c r="AS269" i="1"/>
  <c r="AR270" i="1"/>
  <c r="AS270" i="1"/>
  <c r="AR271" i="1"/>
  <c r="AS271" i="1"/>
  <c r="AR272" i="1"/>
  <c r="AS272" i="1"/>
  <c r="AR273" i="1"/>
  <c r="AS273" i="1"/>
  <c r="AR274" i="1"/>
  <c r="AS274" i="1"/>
  <c r="AR275" i="1"/>
  <c r="AS275" i="1"/>
  <c r="AR276" i="1"/>
  <c r="AS276" i="1"/>
  <c r="AR277" i="1"/>
  <c r="AS277" i="1"/>
  <c r="AR278" i="1"/>
  <c r="AS278" i="1"/>
  <c r="AR279" i="1"/>
  <c r="AS279" i="1"/>
  <c r="AR280" i="1"/>
  <c r="AS280" i="1"/>
  <c r="AR281" i="1"/>
  <c r="AS281" i="1"/>
  <c r="AR282" i="1"/>
  <c r="AS282" i="1"/>
  <c r="AR283" i="1"/>
  <c r="AS283" i="1"/>
  <c r="AR284" i="1"/>
  <c r="AS284" i="1"/>
  <c r="AR285" i="1"/>
  <c r="AS285" i="1"/>
  <c r="AR286" i="1"/>
  <c r="AS286" i="1"/>
  <c r="AR287" i="1"/>
  <c r="AS287" i="1"/>
  <c r="AR288" i="1"/>
  <c r="AS288" i="1"/>
  <c r="AR289" i="1"/>
  <c r="AS289" i="1"/>
  <c r="AR290" i="1"/>
  <c r="AS290" i="1"/>
  <c r="AR291" i="1"/>
  <c r="AS291" i="1"/>
  <c r="AR292" i="1"/>
  <c r="AS292" i="1"/>
  <c r="AR293" i="1"/>
  <c r="AS293" i="1"/>
  <c r="AR294" i="1"/>
  <c r="AS294" i="1"/>
  <c r="AR295" i="1"/>
  <c r="AS295" i="1"/>
  <c r="AR296" i="1"/>
  <c r="AS296" i="1"/>
  <c r="AR297" i="1"/>
  <c r="AS297" i="1"/>
  <c r="AR298" i="1"/>
  <c r="AS298" i="1"/>
  <c r="AR299" i="1"/>
  <c r="AS299" i="1"/>
  <c r="AR300" i="1"/>
  <c r="AS300" i="1"/>
  <c r="AR301" i="1"/>
  <c r="AS301" i="1"/>
  <c r="AR302" i="1"/>
  <c r="AS302" i="1"/>
  <c r="AR303" i="1"/>
  <c r="AS303" i="1"/>
  <c r="AR304" i="1"/>
  <c r="AS304" i="1"/>
  <c r="AR305" i="1"/>
  <c r="AS305" i="1"/>
  <c r="AR306" i="1"/>
  <c r="AS306" i="1"/>
  <c r="AR307" i="1"/>
  <c r="AS307" i="1"/>
  <c r="AR308" i="1"/>
  <c r="AS308" i="1"/>
  <c r="AR309" i="1"/>
  <c r="AS309" i="1"/>
  <c r="AR310" i="1"/>
  <c r="AS310" i="1"/>
  <c r="AR311" i="1"/>
  <c r="AS311" i="1"/>
  <c r="AR312" i="1"/>
  <c r="AS312" i="1"/>
  <c r="AR313" i="1"/>
  <c r="AS313" i="1"/>
  <c r="AR314" i="1"/>
  <c r="AS314" i="1"/>
  <c r="AR315" i="1"/>
  <c r="AS315" i="1"/>
  <c r="AR316" i="1"/>
  <c r="AS316" i="1"/>
  <c r="AR317" i="1"/>
  <c r="AS317" i="1"/>
  <c r="AR318" i="1"/>
  <c r="AS318" i="1"/>
  <c r="AR319" i="1"/>
  <c r="AS319" i="1"/>
  <c r="AR320" i="1"/>
  <c r="AS320" i="1"/>
  <c r="AR321" i="1"/>
  <c r="AS321" i="1"/>
  <c r="AR322" i="1"/>
  <c r="AS322" i="1"/>
  <c r="AR323" i="1"/>
  <c r="AS323" i="1"/>
  <c r="AR324" i="1"/>
  <c r="AS324" i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S2" i="1"/>
  <c r="AR2" i="1"/>
  <c r="AP69" i="1" l="1"/>
  <c r="Y69" i="1"/>
  <c r="X69" i="1"/>
  <c r="W69" i="1"/>
  <c r="U69" i="1"/>
  <c r="T69" i="1"/>
  <c r="S69" i="1"/>
  <c r="R69" i="1"/>
  <c r="Q69" i="1"/>
  <c r="P69" i="1"/>
  <c r="AP68" i="1"/>
  <c r="Y68" i="1"/>
  <c r="X68" i="1"/>
  <c r="W68" i="1"/>
  <c r="U68" i="1"/>
  <c r="T68" i="1"/>
  <c r="S68" i="1"/>
  <c r="R68" i="1"/>
  <c r="Q68" i="1"/>
  <c r="P68" i="1"/>
  <c r="AP67" i="1"/>
  <c r="Y67" i="1"/>
  <c r="X67" i="1"/>
  <c r="W67" i="1"/>
  <c r="U67" i="1"/>
  <c r="T67" i="1"/>
  <c r="S67" i="1"/>
  <c r="R67" i="1"/>
  <c r="Q67" i="1"/>
  <c r="P67" i="1"/>
  <c r="AP66" i="1"/>
  <c r="Y66" i="1"/>
  <c r="X66" i="1"/>
  <c r="W66" i="1"/>
  <c r="U66" i="1"/>
  <c r="T66" i="1"/>
  <c r="S66" i="1"/>
  <c r="R66" i="1"/>
  <c r="Q66" i="1"/>
  <c r="P66" i="1"/>
  <c r="AP63" i="1"/>
  <c r="Y63" i="1"/>
  <c r="X63" i="1"/>
  <c r="W63" i="1"/>
  <c r="U63" i="1"/>
  <c r="T63" i="1"/>
  <c r="S63" i="1"/>
  <c r="R63" i="1"/>
  <c r="Q63" i="1"/>
  <c r="P63" i="1"/>
  <c r="AP62" i="1"/>
  <c r="Y62" i="1"/>
  <c r="X62" i="1"/>
  <c r="W62" i="1"/>
  <c r="U62" i="1"/>
  <c r="T62" i="1"/>
  <c r="S62" i="1"/>
  <c r="R62" i="1"/>
  <c r="Q62" i="1"/>
  <c r="P62" i="1"/>
  <c r="AP61" i="1"/>
  <c r="Y61" i="1"/>
  <c r="X61" i="1"/>
  <c r="W61" i="1"/>
  <c r="U61" i="1"/>
  <c r="T61" i="1"/>
  <c r="V61" i="1" s="1"/>
  <c r="S61" i="1"/>
  <c r="R61" i="1"/>
  <c r="Q61" i="1"/>
  <c r="P61" i="1"/>
  <c r="AP65" i="1"/>
  <c r="Y65" i="1"/>
  <c r="X65" i="1"/>
  <c r="W65" i="1"/>
  <c r="U65" i="1"/>
  <c r="T65" i="1"/>
  <c r="V65" i="1" s="1"/>
  <c r="S65" i="1"/>
  <c r="R65" i="1"/>
  <c r="Q65" i="1"/>
  <c r="P65" i="1"/>
  <c r="AP64" i="1"/>
  <c r="Y64" i="1"/>
  <c r="X64" i="1"/>
  <c r="W64" i="1"/>
  <c r="U64" i="1"/>
  <c r="T64" i="1"/>
  <c r="S64" i="1"/>
  <c r="R64" i="1"/>
  <c r="Q64" i="1"/>
  <c r="P64" i="1"/>
  <c r="AP60" i="1"/>
  <c r="Y60" i="1"/>
  <c r="X60" i="1"/>
  <c r="W60" i="1"/>
  <c r="U60" i="1"/>
  <c r="T60" i="1"/>
  <c r="V60" i="1" s="1"/>
  <c r="S60" i="1"/>
  <c r="R60" i="1"/>
  <c r="Q60" i="1"/>
  <c r="P60" i="1"/>
  <c r="AP74" i="1"/>
  <c r="Y74" i="1"/>
  <c r="X74" i="1"/>
  <c r="W74" i="1"/>
  <c r="U74" i="1"/>
  <c r="T74" i="1"/>
  <c r="S74" i="1"/>
  <c r="R74" i="1"/>
  <c r="Q74" i="1"/>
  <c r="P74" i="1"/>
  <c r="AP73" i="1"/>
  <c r="Y73" i="1"/>
  <c r="X73" i="1"/>
  <c r="W73" i="1"/>
  <c r="U73" i="1"/>
  <c r="T73" i="1"/>
  <c r="S73" i="1"/>
  <c r="R73" i="1"/>
  <c r="Q73" i="1"/>
  <c r="P73" i="1"/>
  <c r="AP72" i="1"/>
  <c r="Y72" i="1"/>
  <c r="X72" i="1"/>
  <c r="W72" i="1"/>
  <c r="U72" i="1"/>
  <c r="T72" i="1"/>
  <c r="S72" i="1"/>
  <c r="R72" i="1"/>
  <c r="Q72" i="1"/>
  <c r="P72" i="1"/>
  <c r="AP71" i="1"/>
  <c r="Y71" i="1"/>
  <c r="X71" i="1"/>
  <c r="W71" i="1"/>
  <c r="U71" i="1"/>
  <c r="T71" i="1"/>
  <c r="V71" i="1" s="1"/>
  <c r="S71" i="1"/>
  <c r="R71" i="1"/>
  <c r="Q71" i="1"/>
  <c r="P71" i="1"/>
  <c r="AP70" i="1"/>
  <c r="Y70" i="1"/>
  <c r="X70" i="1"/>
  <c r="W70" i="1"/>
  <c r="U70" i="1"/>
  <c r="T70" i="1"/>
  <c r="S70" i="1"/>
  <c r="R70" i="1"/>
  <c r="Q70" i="1"/>
  <c r="P70" i="1"/>
  <c r="AP76" i="1"/>
  <c r="Y76" i="1"/>
  <c r="X76" i="1"/>
  <c r="W76" i="1"/>
  <c r="U76" i="1"/>
  <c r="T76" i="1"/>
  <c r="S76" i="1"/>
  <c r="R76" i="1"/>
  <c r="Q76" i="1"/>
  <c r="P76" i="1"/>
  <c r="AP75" i="1"/>
  <c r="Y75" i="1"/>
  <c r="X75" i="1"/>
  <c r="W75" i="1"/>
  <c r="U75" i="1"/>
  <c r="T75" i="1"/>
  <c r="S75" i="1"/>
  <c r="R75" i="1"/>
  <c r="Q75" i="1"/>
  <c r="P75" i="1"/>
  <c r="AO73" i="1" l="1"/>
  <c r="AQ73" i="1" s="1"/>
  <c r="AO65" i="1"/>
  <c r="AQ65" i="1" s="1"/>
  <c r="AO66" i="1"/>
  <c r="AQ66" i="1" s="1"/>
  <c r="AO70" i="1"/>
  <c r="AQ70" i="1" s="1"/>
  <c r="AO71" i="1"/>
  <c r="AQ71" i="1" s="1"/>
  <c r="AO75" i="1"/>
  <c r="AQ75" i="1" s="1"/>
  <c r="AO72" i="1"/>
  <c r="AQ72" i="1" s="1"/>
  <c r="AO76" i="1"/>
  <c r="AQ76" i="1" s="1"/>
  <c r="AO74" i="1"/>
  <c r="AQ74" i="1" s="1"/>
  <c r="AO61" i="1"/>
  <c r="AQ61" i="1" s="1"/>
  <c r="AO67" i="1"/>
  <c r="AQ67" i="1" s="1"/>
  <c r="AO60" i="1"/>
  <c r="AQ60" i="1" s="1"/>
  <c r="AO62" i="1"/>
  <c r="AQ62" i="1" s="1"/>
  <c r="AO68" i="1"/>
  <c r="AQ68" i="1" s="1"/>
  <c r="AO64" i="1"/>
  <c r="AQ64" i="1" s="1"/>
  <c r="AO63" i="1"/>
  <c r="AQ63" i="1" s="1"/>
  <c r="AO69" i="1"/>
  <c r="AQ69" i="1" s="1"/>
  <c r="V66" i="1"/>
  <c r="V64" i="1"/>
  <c r="V62" i="1"/>
  <c r="V63" i="1"/>
  <c r="V68" i="1"/>
  <c r="V67" i="1"/>
  <c r="V69" i="1"/>
  <c r="V70" i="1"/>
  <c r="V74" i="1"/>
  <c r="V73" i="1"/>
  <c r="V75" i="1"/>
  <c r="V72" i="1"/>
  <c r="V76" i="1"/>
  <c r="C67" i="36" l="1"/>
  <c r="C66" i="36"/>
  <c r="U519" i="6" l="1"/>
  <c r="P519" i="6"/>
  <c r="K519" i="6"/>
  <c r="J519" i="6"/>
  <c r="I519" i="6"/>
  <c r="B519" i="6"/>
  <c r="U518" i="6"/>
  <c r="P518" i="6"/>
  <c r="K518" i="6"/>
  <c r="J518" i="6"/>
  <c r="I518" i="6"/>
  <c r="B518" i="6"/>
  <c r="U517" i="6"/>
  <c r="B517" i="6"/>
  <c r="U516" i="6"/>
  <c r="B516" i="6"/>
  <c r="U515" i="6" l="1"/>
  <c r="B515" i="6"/>
  <c r="U514" i="6"/>
  <c r="B514" i="6"/>
  <c r="U513" i="6"/>
  <c r="B513" i="6"/>
  <c r="C134" i="36"/>
  <c r="C133" i="36"/>
  <c r="C132" i="36"/>
  <c r="C131" i="36"/>
  <c r="C130" i="36"/>
  <c r="C65" i="36"/>
  <c r="C129" i="36"/>
  <c r="C135" i="36"/>
  <c r="C128" i="36"/>
  <c r="U427" i="6"/>
  <c r="B427" i="6"/>
  <c r="U505" i="6"/>
  <c r="B505" i="6"/>
  <c r="E64" i="36" l="1"/>
  <c r="C64" i="36"/>
  <c r="C63" i="36"/>
  <c r="C62" i="36"/>
  <c r="C127" i="36"/>
  <c r="C126" i="36"/>
  <c r="C61" i="36" l="1"/>
  <c r="C123" i="36"/>
  <c r="C121" i="36"/>
  <c r="C60" i="36"/>
  <c r="C120" i="36"/>
  <c r="C119" i="36"/>
  <c r="AP49" i="1"/>
  <c r="Y49" i="1"/>
  <c r="X49" i="1"/>
  <c r="W49" i="1"/>
  <c r="U49" i="1"/>
  <c r="T49" i="1"/>
  <c r="S49" i="1"/>
  <c r="R49" i="1"/>
  <c r="Q49" i="1"/>
  <c r="P49" i="1"/>
  <c r="AP22" i="1"/>
  <c r="Y22" i="1"/>
  <c r="X22" i="1"/>
  <c r="W22" i="1"/>
  <c r="U22" i="1"/>
  <c r="T22" i="1"/>
  <c r="S22" i="1"/>
  <c r="R22" i="1"/>
  <c r="Q22" i="1"/>
  <c r="P22" i="1"/>
  <c r="AP21" i="1"/>
  <c r="Y21" i="1"/>
  <c r="X21" i="1"/>
  <c r="W21" i="1"/>
  <c r="U21" i="1"/>
  <c r="T21" i="1"/>
  <c r="S21" i="1"/>
  <c r="R21" i="1"/>
  <c r="Q21" i="1"/>
  <c r="P21" i="1"/>
  <c r="AP48" i="1"/>
  <c r="Y48" i="1"/>
  <c r="X48" i="1"/>
  <c r="W48" i="1"/>
  <c r="U48" i="1"/>
  <c r="T48" i="1"/>
  <c r="S48" i="1"/>
  <c r="R48" i="1"/>
  <c r="Q48" i="1"/>
  <c r="P48" i="1"/>
  <c r="AP47" i="1"/>
  <c r="Y47" i="1"/>
  <c r="X47" i="1"/>
  <c r="W47" i="1"/>
  <c r="U47" i="1"/>
  <c r="T47" i="1"/>
  <c r="S47" i="1"/>
  <c r="R47" i="1"/>
  <c r="Q47" i="1"/>
  <c r="P47" i="1"/>
  <c r="AP46" i="1"/>
  <c r="Y46" i="1"/>
  <c r="X46" i="1"/>
  <c r="W46" i="1"/>
  <c r="U46" i="1"/>
  <c r="T46" i="1"/>
  <c r="S46" i="1"/>
  <c r="R46" i="1"/>
  <c r="Q46" i="1"/>
  <c r="P46" i="1"/>
  <c r="AP45" i="1"/>
  <c r="Y45" i="1"/>
  <c r="X45" i="1"/>
  <c r="W45" i="1"/>
  <c r="U45" i="1"/>
  <c r="T45" i="1"/>
  <c r="S45" i="1"/>
  <c r="R45" i="1"/>
  <c r="Q45" i="1"/>
  <c r="P45" i="1"/>
  <c r="AP56" i="1"/>
  <c r="Y56" i="1"/>
  <c r="X56" i="1"/>
  <c r="W56" i="1"/>
  <c r="U56" i="1"/>
  <c r="T56" i="1"/>
  <c r="S56" i="1"/>
  <c r="R56" i="1"/>
  <c r="Q56" i="1"/>
  <c r="P56" i="1"/>
  <c r="AP55" i="1"/>
  <c r="Y55" i="1"/>
  <c r="X55" i="1"/>
  <c r="W55" i="1"/>
  <c r="U55" i="1"/>
  <c r="T55" i="1"/>
  <c r="S55" i="1"/>
  <c r="R55" i="1"/>
  <c r="Q55" i="1"/>
  <c r="P55" i="1"/>
  <c r="AP54" i="1"/>
  <c r="Y54" i="1"/>
  <c r="X54" i="1"/>
  <c r="W54" i="1"/>
  <c r="U54" i="1"/>
  <c r="T54" i="1"/>
  <c r="S54" i="1"/>
  <c r="R54" i="1"/>
  <c r="Q54" i="1"/>
  <c r="P54" i="1"/>
  <c r="AP53" i="1"/>
  <c r="Y53" i="1"/>
  <c r="X53" i="1"/>
  <c r="W53" i="1"/>
  <c r="U53" i="1"/>
  <c r="T53" i="1"/>
  <c r="S53" i="1"/>
  <c r="R53" i="1"/>
  <c r="Q53" i="1"/>
  <c r="P53" i="1"/>
  <c r="AP51" i="1"/>
  <c r="Y51" i="1"/>
  <c r="X51" i="1"/>
  <c r="W51" i="1"/>
  <c r="U51" i="1"/>
  <c r="T51" i="1"/>
  <c r="S51" i="1"/>
  <c r="R51" i="1"/>
  <c r="Q51" i="1"/>
  <c r="P51" i="1"/>
  <c r="AP50" i="1"/>
  <c r="Y50" i="1"/>
  <c r="X50" i="1"/>
  <c r="W50" i="1"/>
  <c r="U50" i="1"/>
  <c r="T50" i="1"/>
  <c r="S50" i="1"/>
  <c r="R50" i="1"/>
  <c r="Q50" i="1"/>
  <c r="P50" i="1"/>
  <c r="AO55" i="1" l="1"/>
  <c r="AQ55" i="1" s="1"/>
  <c r="AO47" i="1"/>
  <c r="AQ47" i="1" s="1"/>
  <c r="AO49" i="1"/>
  <c r="AQ49" i="1" s="1"/>
  <c r="AO51" i="1"/>
  <c r="AQ51" i="1" s="1"/>
  <c r="AO56" i="1"/>
  <c r="AQ56" i="1" s="1"/>
  <c r="AO48" i="1"/>
  <c r="AQ48" i="1" s="1"/>
  <c r="AO50" i="1"/>
  <c r="AQ50" i="1" s="1"/>
  <c r="AO53" i="1"/>
  <c r="AQ53" i="1" s="1"/>
  <c r="AO45" i="1"/>
  <c r="AQ45" i="1" s="1"/>
  <c r="AO21" i="1"/>
  <c r="AQ21" i="1" s="1"/>
  <c r="AO54" i="1"/>
  <c r="AQ54" i="1" s="1"/>
  <c r="AO46" i="1"/>
  <c r="AQ46" i="1" s="1"/>
  <c r="AO22" i="1"/>
  <c r="AQ22" i="1" s="1"/>
  <c r="V47" i="1"/>
  <c r="V21" i="1"/>
  <c r="V56" i="1"/>
  <c r="V48" i="1"/>
  <c r="V46" i="1"/>
  <c r="V22" i="1"/>
  <c r="V49" i="1"/>
  <c r="V53" i="1"/>
  <c r="V45" i="1"/>
  <c r="V50" i="1"/>
  <c r="V55" i="1"/>
  <c r="V54" i="1"/>
  <c r="V51" i="1"/>
  <c r="U511" i="6" l="1"/>
  <c r="B511" i="6"/>
  <c r="U510" i="6"/>
  <c r="B510" i="6"/>
  <c r="U509" i="6"/>
  <c r="B509" i="6"/>
  <c r="U508" i="6"/>
  <c r="B508" i="6"/>
  <c r="C125" i="36"/>
  <c r="C124" i="36"/>
  <c r="C12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18" i="36"/>
  <c r="C117" i="36"/>
  <c r="C116" i="36"/>
  <c r="C115" i="36"/>
  <c r="C114" i="36"/>
  <c r="U507" i="6"/>
  <c r="B507" i="6"/>
  <c r="U506" i="6"/>
  <c r="B506" i="6"/>
  <c r="U504" i="6"/>
  <c r="B504" i="6"/>
  <c r="P90" i="1"/>
  <c r="Q90" i="1"/>
  <c r="R90" i="1"/>
  <c r="S90" i="1"/>
  <c r="T90" i="1"/>
  <c r="U90" i="1"/>
  <c r="X90" i="1"/>
  <c r="Y90" i="1"/>
  <c r="P91" i="1"/>
  <c r="Q91" i="1"/>
  <c r="R91" i="1"/>
  <c r="S91" i="1"/>
  <c r="T91" i="1"/>
  <c r="U91" i="1"/>
  <c r="X91" i="1"/>
  <c r="Y91" i="1"/>
  <c r="P92" i="1"/>
  <c r="Q92" i="1"/>
  <c r="R92" i="1"/>
  <c r="S92" i="1"/>
  <c r="T92" i="1"/>
  <c r="U92" i="1"/>
  <c r="X92" i="1"/>
  <c r="Y92" i="1"/>
  <c r="P93" i="1"/>
  <c r="K503" i="6" s="1"/>
  <c r="Q93" i="1"/>
  <c r="J503" i="6" s="1"/>
  <c r="R93" i="1"/>
  <c r="I503" i="6" s="1"/>
  <c r="S93" i="1"/>
  <c r="T93" i="1"/>
  <c r="U93" i="1"/>
  <c r="X93" i="1"/>
  <c r="Y93" i="1"/>
  <c r="P94" i="1"/>
  <c r="Q94" i="1"/>
  <c r="R94" i="1"/>
  <c r="S94" i="1"/>
  <c r="T94" i="1"/>
  <c r="U94" i="1"/>
  <c r="X94" i="1"/>
  <c r="Y94" i="1"/>
  <c r="P95" i="1"/>
  <c r="Q95" i="1"/>
  <c r="R95" i="1"/>
  <c r="S95" i="1"/>
  <c r="T95" i="1"/>
  <c r="U95" i="1"/>
  <c r="X95" i="1"/>
  <c r="Y95" i="1"/>
  <c r="P96" i="1"/>
  <c r="Q96" i="1"/>
  <c r="R96" i="1"/>
  <c r="S96" i="1"/>
  <c r="T96" i="1"/>
  <c r="U96" i="1"/>
  <c r="X96" i="1"/>
  <c r="Y96" i="1"/>
  <c r="P97" i="1"/>
  <c r="Q97" i="1"/>
  <c r="R97" i="1"/>
  <c r="S97" i="1"/>
  <c r="T97" i="1"/>
  <c r="U97" i="1"/>
  <c r="X97" i="1"/>
  <c r="Y97" i="1"/>
  <c r="P98" i="1"/>
  <c r="Q98" i="1"/>
  <c r="R98" i="1"/>
  <c r="S98" i="1"/>
  <c r="T98" i="1"/>
  <c r="U98" i="1"/>
  <c r="X98" i="1"/>
  <c r="Y98" i="1"/>
  <c r="P99" i="1"/>
  <c r="Q99" i="1"/>
  <c r="R99" i="1"/>
  <c r="S99" i="1"/>
  <c r="T99" i="1"/>
  <c r="U99" i="1"/>
  <c r="X99" i="1"/>
  <c r="Y99" i="1"/>
  <c r="P100" i="1"/>
  <c r="Q100" i="1"/>
  <c r="R100" i="1"/>
  <c r="S100" i="1"/>
  <c r="T100" i="1"/>
  <c r="U100" i="1"/>
  <c r="X100" i="1"/>
  <c r="Y100" i="1"/>
  <c r="P101" i="1"/>
  <c r="Q101" i="1"/>
  <c r="R101" i="1"/>
  <c r="S101" i="1"/>
  <c r="T101" i="1"/>
  <c r="U101" i="1"/>
  <c r="X101" i="1"/>
  <c r="Y101" i="1"/>
  <c r="C11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10" i="36"/>
  <c r="U495" i="6"/>
  <c r="B495" i="6"/>
  <c r="U494" i="6"/>
  <c r="B494" i="6"/>
  <c r="U493" i="6"/>
  <c r="B493" i="6"/>
  <c r="U492" i="6"/>
  <c r="B492" i="6"/>
  <c r="P503" i="6" l="1"/>
  <c r="V97" i="1"/>
  <c r="V96" i="1"/>
  <c r="V92" i="1"/>
  <c r="V93" i="1"/>
  <c r="V91" i="1"/>
  <c r="V90" i="1"/>
  <c r="V101" i="1"/>
  <c r="V100" i="1"/>
  <c r="V99" i="1"/>
  <c r="V98" i="1"/>
  <c r="V95" i="1"/>
  <c r="V94" i="1"/>
  <c r="Y23" i="37"/>
  <c r="Y24" i="37"/>
  <c r="Y25" i="37"/>
  <c r="M4" i="37"/>
  <c r="C112" i="36"/>
  <c r="C111" i="36"/>
  <c r="C109" i="36"/>
  <c r="C108" i="36"/>
  <c r="C107" i="36"/>
  <c r="C106" i="36"/>
  <c r="C105" i="36"/>
  <c r="C10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2" i="1" l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3" i="1"/>
  <c r="AP24" i="1"/>
  <c r="AP27" i="1"/>
  <c r="AP28" i="1"/>
  <c r="AP25" i="1"/>
  <c r="AP26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57" i="1"/>
  <c r="AP52" i="1"/>
  <c r="AP58" i="1"/>
  <c r="AP59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O90" i="1"/>
  <c r="AP90" i="1"/>
  <c r="AO91" i="1"/>
  <c r="AQ91" i="1" s="1"/>
  <c r="AP91" i="1"/>
  <c r="AO92" i="1"/>
  <c r="AQ92" i="1" s="1"/>
  <c r="AP92" i="1"/>
  <c r="AO93" i="1"/>
  <c r="AP93" i="1"/>
  <c r="AO94" i="1"/>
  <c r="AP94" i="1"/>
  <c r="AO95" i="1"/>
  <c r="AQ95" i="1" s="1"/>
  <c r="AP95" i="1"/>
  <c r="AO96" i="1"/>
  <c r="AQ96" i="1" s="1"/>
  <c r="AP96" i="1"/>
  <c r="AO97" i="1"/>
  <c r="AP97" i="1"/>
  <c r="AO98" i="1"/>
  <c r="AP98" i="1"/>
  <c r="AO99" i="1"/>
  <c r="AQ99" i="1" s="1"/>
  <c r="AP99" i="1"/>
  <c r="AO100" i="1"/>
  <c r="AQ100" i="1" s="1"/>
  <c r="AP100" i="1"/>
  <c r="AO101" i="1"/>
  <c r="AP101" i="1"/>
  <c r="AO102" i="1"/>
  <c r="AP102" i="1"/>
  <c r="AO103" i="1"/>
  <c r="AQ103" i="1" s="1"/>
  <c r="AP103" i="1"/>
  <c r="AO104" i="1"/>
  <c r="AQ104" i="1" s="1"/>
  <c r="AP104" i="1"/>
  <c r="AO105" i="1"/>
  <c r="AQ105" i="1" s="1"/>
  <c r="AP105" i="1"/>
  <c r="AO106" i="1"/>
  <c r="AP106" i="1"/>
  <c r="AO107" i="1"/>
  <c r="AQ107" i="1" s="1"/>
  <c r="AP107" i="1"/>
  <c r="AO108" i="1"/>
  <c r="AQ108" i="1" s="1"/>
  <c r="AP108" i="1"/>
  <c r="AO109" i="1"/>
  <c r="AQ109" i="1" s="1"/>
  <c r="AP109" i="1"/>
  <c r="AO110" i="1"/>
  <c r="AP110" i="1"/>
  <c r="AO111" i="1"/>
  <c r="AQ111" i="1" s="1"/>
  <c r="AP111" i="1"/>
  <c r="AO112" i="1"/>
  <c r="AQ112" i="1" s="1"/>
  <c r="AP112" i="1"/>
  <c r="AO113" i="1"/>
  <c r="AQ113" i="1" s="1"/>
  <c r="AP113" i="1"/>
  <c r="AO114" i="1"/>
  <c r="AP114" i="1"/>
  <c r="AO115" i="1"/>
  <c r="AQ115" i="1" s="1"/>
  <c r="AP115" i="1"/>
  <c r="AO116" i="1"/>
  <c r="AQ116" i="1" s="1"/>
  <c r="AP116" i="1"/>
  <c r="AO117" i="1"/>
  <c r="AQ117" i="1" s="1"/>
  <c r="AP117" i="1"/>
  <c r="AO118" i="1"/>
  <c r="AP118" i="1"/>
  <c r="AO119" i="1"/>
  <c r="AQ119" i="1" s="1"/>
  <c r="AP119" i="1"/>
  <c r="AO120" i="1"/>
  <c r="AQ120" i="1" s="1"/>
  <c r="AP120" i="1"/>
  <c r="AO121" i="1"/>
  <c r="AQ121" i="1" s="1"/>
  <c r="AP121" i="1"/>
  <c r="AO122" i="1"/>
  <c r="AP122" i="1"/>
  <c r="AO123" i="1"/>
  <c r="AQ123" i="1" s="1"/>
  <c r="AP123" i="1"/>
  <c r="AO124" i="1"/>
  <c r="AQ124" i="1" s="1"/>
  <c r="AP124" i="1"/>
  <c r="AO125" i="1"/>
  <c r="AQ125" i="1" s="1"/>
  <c r="AP125" i="1"/>
  <c r="AO126" i="1"/>
  <c r="AP126" i="1"/>
  <c r="AO127" i="1"/>
  <c r="AQ127" i="1" s="1"/>
  <c r="AP127" i="1"/>
  <c r="AO128" i="1"/>
  <c r="AQ128" i="1" s="1"/>
  <c r="AP128" i="1"/>
  <c r="AO129" i="1"/>
  <c r="AQ129" i="1" s="1"/>
  <c r="AP129" i="1"/>
  <c r="AO130" i="1"/>
  <c r="AP130" i="1"/>
  <c r="AO131" i="1"/>
  <c r="AQ131" i="1" s="1"/>
  <c r="AP131" i="1"/>
  <c r="AO132" i="1"/>
  <c r="AQ132" i="1" s="1"/>
  <c r="AP132" i="1"/>
  <c r="AO133" i="1"/>
  <c r="AQ133" i="1" s="1"/>
  <c r="AP133" i="1"/>
  <c r="AO134" i="1"/>
  <c r="AP134" i="1"/>
  <c r="AO135" i="1"/>
  <c r="AQ135" i="1" s="1"/>
  <c r="AP135" i="1"/>
  <c r="AO136" i="1"/>
  <c r="AQ136" i="1" s="1"/>
  <c r="AP136" i="1"/>
  <c r="AO137" i="1"/>
  <c r="AQ137" i="1" s="1"/>
  <c r="AP137" i="1"/>
  <c r="AO138" i="1"/>
  <c r="AP138" i="1"/>
  <c r="AO139" i="1"/>
  <c r="AQ139" i="1" s="1"/>
  <c r="AP139" i="1"/>
  <c r="AO140" i="1"/>
  <c r="AQ140" i="1" s="1"/>
  <c r="AP140" i="1"/>
  <c r="AO141" i="1"/>
  <c r="AQ141" i="1" s="1"/>
  <c r="AP141" i="1"/>
  <c r="AO142" i="1"/>
  <c r="AP142" i="1"/>
  <c r="AO143" i="1"/>
  <c r="AQ143" i="1" s="1"/>
  <c r="AP143" i="1"/>
  <c r="AO144" i="1"/>
  <c r="AQ144" i="1" s="1"/>
  <c r="AP144" i="1"/>
  <c r="AO145" i="1"/>
  <c r="AQ145" i="1" s="1"/>
  <c r="AP145" i="1"/>
  <c r="AO146" i="1"/>
  <c r="AP146" i="1"/>
  <c r="AO147" i="1"/>
  <c r="AQ147" i="1" s="1"/>
  <c r="AP147" i="1"/>
  <c r="AO148" i="1"/>
  <c r="AQ148" i="1" s="1"/>
  <c r="AP148" i="1"/>
  <c r="AO149" i="1"/>
  <c r="AQ149" i="1" s="1"/>
  <c r="AP149" i="1"/>
  <c r="AO150" i="1"/>
  <c r="AP150" i="1"/>
  <c r="AO151" i="1"/>
  <c r="AQ151" i="1" s="1"/>
  <c r="AP151" i="1"/>
  <c r="AO152" i="1"/>
  <c r="AQ152" i="1" s="1"/>
  <c r="AP152" i="1"/>
  <c r="AO153" i="1"/>
  <c r="AQ153" i="1" s="1"/>
  <c r="AP153" i="1"/>
  <c r="AO154" i="1"/>
  <c r="AP154" i="1"/>
  <c r="AO155" i="1"/>
  <c r="AQ155" i="1" s="1"/>
  <c r="AP155" i="1"/>
  <c r="AO156" i="1"/>
  <c r="AQ156" i="1" s="1"/>
  <c r="AP156" i="1"/>
  <c r="AO157" i="1"/>
  <c r="AQ157" i="1" s="1"/>
  <c r="AP157" i="1"/>
  <c r="AO158" i="1"/>
  <c r="AP158" i="1"/>
  <c r="AO159" i="1"/>
  <c r="AQ159" i="1" s="1"/>
  <c r="AP159" i="1"/>
  <c r="AO160" i="1"/>
  <c r="AQ160" i="1" s="1"/>
  <c r="AP160" i="1"/>
  <c r="AO161" i="1"/>
  <c r="AQ161" i="1" s="1"/>
  <c r="AP161" i="1"/>
  <c r="AO162" i="1"/>
  <c r="AP162" i="1"/>
  <c r="AO163" i="1"/>
  <c r="AQ163" i="1" s="1"/>
  <c r="AP163" i="1"/>
  <c r="AO164" i="1"/>
  <c r="AQ164" i="1" s="1"/>
  <c r="AP164" i="1"/>
  <c r="AO165" i="1"/>
  <c r="AQ165" i="1" s="1"/>
  <c r="AP165" i="1"/>
  <c r="AO166" i="1"/>
  <c r="AP166" i="1"/>
  <c r="AO167" i="1"/>
  <c r="AQ167" i="1" s="1"/>
  <c r="AP167" i="1"/>
  <c r="AO168" i="1"/>
  <c r="AQ168" i="1" s="1"/>
  <c r="AP168" i="1"/>
  <c r="AO169" i="1"/>
  <c r="AQ169" i="1" s="1"/>
  <c r="AP169" i="1"/>
  <c r="AO170" i="1"/>
  <c r="AP170" i="1"/>
  <c r="AO171" i="1"/>
  <c r="AQ171" i="1" s="1"/>
  <c r="AP171" i="1"/>
  <c r="AO172" i="1"/>
  <c r="AQ172" i="1" s="1"/>
  <c r="AP172" i="1"/>
  <c r="AO173" i="1"/>
  <c r="AQ173" i="1" s="1"/>
  <c r="AP173" i="1"/>
  <c r="AO174" i="1"/>
  <c r="AP174" i="1"/>
  <c r="AO175" i="1"/>
  <c r="AQ175" i="1" s="1"/>
  <c r="AP175" i="1"/>
  <c r="AO176" i="1"/>
  <c r="AQ176" i="1" s="1"/>
  <c r="AP176" i="1"/>
  <c r="AO177" i="1"/>
  <c r="AQ177" i="1" s="1"/>
  <c r="AP177" i="1"/>
  <c r="AO178" i="1"/>
  <c r="AP178" i="1"/>
  <c r="AO179" i="1"/>
  <c r="AQ179" i="1" s="1"/>
  <c r="AP179" i="1"/>
  <c r="AO180" i="1"/>
  <c r="AQ180" i="1" s="1"/>
  <c r="AP180" i="1"/>
  <c r="AO181" i="1"/>
  <c r="AQ181" i="1" s="1"/>
  <c r="AP181" i="1"/>
  <c r="AO182" i="1"/>
  <c r="AP182" i="1"/>
  <c r="AO183" i="1"/>
  <c r="AQ183" i="1" s="1"/>
  <c r="AP183" i="1"/>
  <c r="AO184" i="1"/>
  <c r="AQ184" i="1" s="1"/>
  <c r="AP184" i="1"/>
  <c r="AO185" i="1"/>
  <c r="AQ185" i="1" s="1"/>
  <c r="AP185" i="1"/>
  <c r="AO186" i="1"/>
  <c r="AP186" i="1"/>
  <c r="AO187" i="1"/>
  <c r="AQ187" i="1" s="1"/>
  <c r="AP187" i="1"/>
  <c r="AO188" i="1"/>
  <c r="AQ188" i="1" s="1"/>
  <c r="AP188" i="1"/>
  <c r="AO189" i="1"/>
  <c r="AQ189" i="1" s="1"/>
  <c r="AP189" i="1"/>
  <c r="AO190" i="1"/>
  <c r="AP190" i="1"/>
  <c r="AO191" i="1"/>
  <c r="AQ191" i="1" s="1"/>
  <c r="AP191" i="1"/>
  <c r="AO192" i="1"/>
  <c r="AQ192" i="1" s="1"/>
  <c r="AP192" i="1"/>
  <c r="AO193" i="1"/>
  <c r="AQ193" i="1" s="1"/>
  <c r="AP193" i="1"/>
  <c r="AO194" i="1"/>
  <c r="AP194" i="1"/>
  <c r="AO195" i="1"/>
  <c r="AQ195" i="1" s="1"/>
  <c r="AP195" i="1"/>
  <c r="AO196" i="1"/>
  <c r="AQ196" i="1" s="1"/>
  <c r="AP196" i="1"/>
  <c r="AO197" i="1"/>
  <c r="AQ197" i="1" s="1"/>
  <c r="AP197" i="1"/>
  <c r="AO198" i="1"/>
  <c r="AP198" i="1"/>
  <c r="AO199" i="1"/>
  <c r="AQ199" i="1" s="1"/>
  <c r="AP199" i="1"/>
  <c r="AO200" i="1"/>
  <c r="AQ200" i="1" s="1"/>
  <c r="AP200" i="1"/>
  <c r="AO201" i="1"/>
  <c r="AQ201" i="1" s="1"/>
  <c r="AP201" i="1"/>
  <c r="AO202" i="1"/>
  <c r="AP202" i="1"/>
  <c r="AO203" i="1"/>
  <c r="AQ203" i="1" s="1"/>
  <c r="AP203" i="1"/>
  <c r="AO204" i="1"/>
  <c r="AQ204" i="1" s="1"/>
  <c r="AP204" i="1"/>
  <c r="AO205" i="1"/>
  <c r="AQ205" i="1" s="1"/>
  <c r="AP205" i="1"/>
  <c r="AO206" i="1"/>
  <c r="AP206" i="1"/>
  <c r="AO207" i="1"/>
  <c r="AQ207" i="1" s="1"/>
  <c r="AP207" i="1"/>
  <c r="AO208" i="1"/>
  <c r="AQ208" i="1" s="1"/>
  <c r="AP208" i="1"/>
  <c r="AO209" i="1"/>
  <c r="AQ209" i="1" s="1"/>
  <c r="AP209" i="1"/>
  <c r="AO210" i="1"/>
  <c r="AP210" i="1"/>
  <c r="AO211" i="1"/>
  <c r="AQ211" i="1" s="1"/>
  <c r="AP211" i="1"/>
  <c r="AO212" i="1"/>
  <c r="AQ212" i="1" s="1"/>
  <c r="AP212" i="1"/>
  <c r="AO213" i="1"/>
  <c r="AQ213" i="1" s="1"/>
  <c r="AP213" i="1"/>
  <c r="AO214" i="1"/>
  <c r="AP214" i="1"/>
  <c r="AO215" i="1"/>
  <c r="AQ215" i="1" s="1"/>
  <c r="AP215" i="1"/>
  <c r="AO216" i="1"/>
  <c r="AQ216" i="1" s="1"/>
  <c r="AP216" i="1"/>
  <c r="AO217" i="1"/>
  <c r="AQ217" i="1" s="1"/>
  <c r="AP217" i="1"/>
  <c r="AO218" i="1"/>
  <c r="AP218" i="1"/>
  <c r="AO219" i="1"/>
  <c r="AQ219" i="1" s="1"/>
  <c r="AP219" i="1"/>
  <c r="AO220" i="1"/>
  <c r="AQ220" i="1" s="1"/>
  <c r="AP220" i="1"/>
  <c r="AO221" i="1"/>
  <c r="AQ221" i="1" s="1"/>
  <c r="AP221" i="1"/>
  <c r="AO222" i="1"/>
  <c r="AP222" i="1"/>
  <c r="AO223" i="1"/>
  <c r="AQ223" i="1" s="1"/>
  <c r="AP223" i="1"/>
  <c r="AO224" i="1"/>
  <c r="AQ224" i="1" s="1"/>
  <c r="AP224" i="1"/>
  <c r="AO225" i="1"/>
  <c r="AQ225" i="1" s="1"/>
  <c r="AP225" i="1"/>
  <c r="AO226" i="1"/>
  <c r="AP226" i="1"/>
  <c r="AO227" i="1"/>
  <c r="AQ227" i="1" s="1"/>
  <c r="AP227" i="1"/>
  <c r="AO228" i="1"/>
  <c r="AQ228" i="1" s="1"/>
  <c r="AP228" i="1"/>
  <c r="AO229" i="1"/>
  <c r="AQ229" i="1" s="1"/>
  <c r="AP229" i="1"/>
  <c r="AO230" i="1"/>
  <c r="AP230" i="1"/>
  <c r="AO231" i="1"/>
  <c r="AQ231" i="1" s="1"/>
  <c r="AP231" i="1"/>
  <c r="AO232" i="1"/>
  <c r="AQ232" i="1" s="1"/>
  <c r="AP232" i="1"/>
  <c r="AO233" i="1"/>
  <c r="AQ233" i="1" s="1"/>
  <c r="AP233" i="1"/>
  <c r="AO234" i="1"/>
  <c r="AP234" i="1"/>
  <c r="AO235" i="1"/>
  <c r="AQ235" i="1" s="1"/>
  <c r="AP235" i="1"/>
  <c r="AO236" i="1"/>
  <c r="AQ236" i="1" s="1"/>
  <c r="AP236" i="1"/>
  <c r="AO237" i="1"/>
  <c r="AQ237" i="1" s="1"/>
  <c r="AP237" i="1"/>
  <c r="AO238" i="1"/>
  <c r="AP238" i="1"/>
  <c r="AO239" i="1"/>
  <c r="AQ239" i="1" s="1"/>
  <c r="AP239" i="1"/>
  <c r="AO240" i="1"/>
  <c r="AQ240" i="1" s="1"/>
  <c r="AP240" i="1"/>
  <c r="AO241" i="1"/>
  <c r="AQ241" i="1" s="1"/>
  <c r="AP241" i="1"/>
  <c r="AO242" i="1"/>
  <c r="AP242" i="1"/>
  <c r="AO243" i="1"/>
  <c r="AQ243" i="1" s="1"/>
  <c r="AP243" i="1"/>
  <c r="AO244" i="1"/>
  <c r="AQ244" i="1" s="1"/>
  <c r="AP244" i="1"/>
  <c r="AO245" i="1"/>
  <c r="AQ245" i="1" s="1"/>
  <c r="AP245" i="1"/>
  <c r="AO246" i="1"/>
  <c r="AP246" i="1"/>
  <c r="AO247" i="1"/>
  <c r="AQ247" i="1" s="1"/>
  <c r="AP247" i="1"/>
  <c r="AO248" i="1"/>
  <c r="AQ248" i="1" s="1"/>
  <c r="AP248" i="1"/>
  <c r="AO249" i="1"/>
  <c r="AQ249" i="1" s="1"/>
  <c r="AP249" i="1"/>
  <c r="AO250" i="1"/>
  <c r="AP250" i="1"/>
  <c r="AO251" i="1"/>
  <c r="AQ251" i="1" s="1"/>
  <c r="AP251" i="1"/>
  <c r="AO252" i="1"/>
  <c r="AQ252" i="1" s="1"/>
  <c r="AP252" i="1"/>
  <c r="AO253" i="1"/>
  <c r="AQ253" i="1" s="1"/>
  <c r="AP253" i="1"/>
  <c r="AO254" i="1"/>
  <c r="AP254" i="1"/>
  <c r="AO255" i="1"/>
  <c r="AQ255" i="1" s="1"/>
  <c r="AP255" i="1"/>
  <c r="AO256" i="1"/>
  <c r="AQ256" i="1" s="1"/>
  <c r="AP256" i="1"/>
  <c r="AO257" i="1"/>
  <c r="AQ257" i="1" s="1"/>
  <c r="AP257" i="1"/>
  <c r="AO258" i="1"/>
  <c r="AP258" i="1"/>
  <c r="AO259" i="1"/>
  <c r="AQ259" i="1" s="1"/>
  <c r="AP259" i="1"/>
  <c r="AO260" i="1"/>
  <c r="AQ260" i="1" s="1"/>
  <c r="AP260" i="1"/>
  <c r="AO261" i="1"/>
  <c r="AQ261" i="1" s="1"/>
  <c r="AP261" i="1"/>
  <c r="AO262" i="1"/>
  <c r="AP262" i="1"/>
  <c r="AO263" i="1"/>
  <c r="AQ263" i="1" s="1"/>
  <c r="AP263" i="1"/>
  <c r="AO264" i="1"/>
  <c r="AQ264" i="1" s="1"/>
  <c r="AP264" i="1"/>
  <c r="AO265" i="1"/>
  <c r="AQ265" i="1" s="1"/>
  <c r="AP265" i="1"/>
  <c r="AO266" i="1"/>
  <c r="AP266" i="1"/>
  <c r="AO267" i="1"/>
  <c r="AQ267" i="1" s="1"/>
  <c r="AP267" i="1"/>
  <c r="AO268" i="1"/>
  <c r="AQ268" i="1" s="1"/>
  <c r="AP268" i="1"/>
  <c r="AO269" i="1"/>
  <c r="AQ269" i="1" s="1"/>
  <c r="AP269" i="1"/>
  <c r="AO270" i="1"/>
  <c r="AP270" i="1"/>
  <c r="AO271" i="1"/>
  <c r="AQ271" i="1" s="1"/>
  <c r="AP271" i="1"/>
  <c r="AO272" i="1"/>
  <c r="AQ272" i="1" s="1"/>
  <c r="AP272" i="1"/>
  <c r="AO273" i="1"/>
  <c r="AQ273" i="1" s="1"/>
  <c r="AP273" i="1"/>
  <c r="AO274" i="1"/>
  <c r="AP274" i="1"/>
  <c r="AO275" i="1"/>
  <c r="AQ275" i="1" s="1"/>
  <c r="AP275" i="1"/>
  <c r="AO276" i="1"/>
  <c r="AQ276" i="1" s="1"/>
  <c r="AP276" i="1"/>
  <c r="AO277" i="1"/>
  <c r="AQ277" i="1" s="1"/>
  <c r="AP277" i="1"/>
  <c r="AO278" i="1"/>
  <c r="AP278" i="1"/>
  <c r="AO279" i="1"/>
  <c r="AQ279" i="1" s="1"/>
  <c r="AP279" i="1"/>
  <c r="AO280" i="1"/>
  <c r="AQ280" i="1" s="1"/>
  <c r="AP280" i="1"/>
  <c r="AO281" i="1"/>
  <c r="AQ281" i="1" s="1"/>
  <c r="AP281" i="1"/>
  <c r="AO282" i="1"/>
  <c r="AP282" i="1"/>
  <c r="AO283" i="1"/>
  <c r="AQ283" i="1" s="1"/>
  <c r="AP283" i="1"/>
  <c r="AO284" i="1"/>
  <c r="AQ284" i="1" s="1"/>
  <c r="AP284" i="1"/>
  <c r="AO285" i="1"/>
  <c r="AQ285" i="1" s="1"/>
  <c r="AP285" i="1"/>
  <c r="AO286" i="1"/>
  <c r="AP286" i="1"/>
  <c r="AO287" i="1"/>
  <c r="AQ287" i="1" s="1"/>
  <c r="AP287" i="1"/>
  <c r="AO288" i="1"/>
  <c r="AQ288" i="1" s="1"/>
  <c r="AP288" i="1"/>
  <c r="AO289" i="1"/>
  <c r="AQ289" i="1" s="1"/>
  <c r="AP289" i="1"/>
  <c r="AO290" i="1"/>
  <c r="AP290" i="1"/>
  <c r="AO291" i="1"/>
  <c r="AQ291" i="1" s="1"/>
  <c r="AP291" i="1"/>
  <c r="AO292" i="1"/>
  <c r="AQ292" i="1" s="1"/>
  <c r="AP292" i="1"/>
  <c r="AO293" i="1"/>
  <c r="AQ293" i="1" s="1"/>
  <c r="AP293" i="1"/>
  <c r="AO294" i="1"/>
  <c r="AP294" i="1"/>
  <c r="AO295" i="1"/>
  <c r="AQ295" i="1" s="1"/>
  <c r="AP295" i="1"/>
  <c r="AO296" i="1"/>
  <c r="AQ296" i="1" s="1"/>
  <c r="AP296" i="1"/>
  <c r="AO297" i="1"/>
  <c r="AQ297" i="1" s="1"/>
  <c r="AP297" i="1"/>
  <c r="AO298" i="1"/>
  <c r="AP298" i="1"/>
  <c r="AO299" i="1"/>
  <c r="AQ299" i="1" s="1"/>
  <c r="AP299" i="1"/>
  <c r="AO300" i="1"/>
  <c r="AQ300" i="1" s="1"/>
  <c r="AP300" i="1"/>
  <c r="AO301" i="1"/>
  <c r="AQ301" i="1" s="1"/>
  <c r="AP301" i="1"/>
  <c r="AO302" i="1"/>
  <c r="AP302" i="1"/>
  <c r="AO303" i="1"/>
  <c r="AQ303" i="1" s="1"/>
  <c r="AP303" i="1"/>
  <c r="AO304" i="1"/>
  <c r="AQ304" i="1" s="1"/>
  <c r="AP304" i="1"/>
  <c r="AO305" i="1"/>
  <c r="AQ305" i="1" s="1"/>
  <c r="AP305" i="1"/>
  <c r="AO306" i="1"/>
  <c r="AP306" i="1"/>
  <c r="AO307" i="1"/>
  <c r="AQ307" i="1" s="1"/>
  <c r="AP307" i="1"/>
  <c r="AO308" i="1"/>
  <c r="AQ308" i="1" s="1"/>
  <c r="AP308" i="1"/>
  <c r="AO309" i="1"/>
  <c r="AQ309" i="1" s="1"/>
  <c r="AP309" i="1"/>
  <c r="AO310" i="1"/>
  <c r="AP310" i="1"/>
  <c r="AO311" i="1"/>
  <c r="AQ311" i="1" s="1"/>
  <c r="AP311" i="1"/>
  <c r="AO312" i="1"/>
  <c r="AQ312" i="1" s="1"/>
  <c r="AP312" i="1"/>
  <c r="AO313" i="1"/>
  <c r="AQ313" i="1" s="1"/>
  <c r="AP313" i="1"/>
  <c r="AO314" i="1"/>
  <c r="AP314" i="1"/>
  <c r="AO315" i="1"/>
  <c r="AQ315" i="1" s="1"/>
  <c r="AP315" i="1"/>
  <c r="AO316" i="1"/>
  <c r="AQ316" i="1" s="1"/>
  <c r="AP316" i="1"/>
  <c r="AO317" i="1"/>
  <c r="AQ317" i="1" s="1"/>
  <c r="AP317" i="1"/>
  <c r="AO318" i="1"/>
  <c r="AP318" i="1"/>
  <c r="AO319" i="1"/>
  <c r="AQ319" i="1" s="1"/>
  <c r="AP319" i="1"/>
  <c r="AO320" i="1"/>
  <c r="AQ320" i="1" s="1"/>
  <c r="AP320" i="1"/>
  <c r="AO321" i="1"/>
  <c r="AQ321" i="1" s="1"/>
  <c r="AP321" i="1"/>
  <c r="AO322" i="1"/>
  <c r="AP322" i="1"/>
  <c r="AO323" i="1"/>
  <c r="AQ323" i="1" s="1"/>
  <c r="AP323" i="1"/>
  <c r="AO324" i="1"/>
  <c r="AQ324" i="1" s="1"/>
  <c r="AP324" i="1"/>
  <c r="AO325" i="1"/>
  <c r="AQ325" i="1" s="1"/>
  <c r="AP325" i="1"/>
  <c r="AO326" i="1"/>
  <c r="AP326" i="1"/>
  <c r="AO327" i="1"/>
  <c r="AQ327" i="1" s="1"/>
  <c r="AP327" i="1"/>
  <c r="AO328" i="1"/>
  <c r="AQ328" i="1" s="1"/>
  <c r="AP328" i="1"/>
  <c r="AO329" i="1"/>
  <c r="AQ329" i="1" s="1"/>
  <c r="AP329" i="1"/>
  <c r="AO330" i="1"/>
  <c r="AP330" i="1"/>
  <c r="AO331" i="1"/>
  <c r="AQ331" i="1" s="1"/>
  <c r="AP331" i="1"/>
  <c r="AO332" i="1"/>
  <c r="AQ332" i="1" s="1"/>
  <c r="AP332" i="1"/>
  <c r="AO333" i="1"/>
  <c r="AQ333" i="1" s="1"/>
  <c r="AP333" i="1"/>
  <c r="AO334" i="1"/>
  <c r="AP334" i="1"/>
  <c r="AO335" i="1"/>
  <c r="AQ335" i="1" s="1"/>
  <c r="AP335" i="1"/>
  <c r="AO336" i="1"/>
  <c r="AQ336" i="1" s="1"/>
  <c r="AP336" i="1"/>
  <c r="AO337" i="1"/>
  <c r="AQ337" i="1" s="1"/>
  <c r="AP337" i="1"/>
  <c r="AO338" i="1"/>
  <c r="AP338" i="1"/>
  <c r="AO339" i="1"/>
  <c r="AQ339" i="1" s="1"/>
  <c r="AP339" i="1"/>
  <c r="AO340" i="1"/>
  <c r="AQ340" i="1" s="1"/>
  <c r="AP340" i="1"/>
  <c r="AO341" i="1"/>
  <c r="AQ341" i="1" s="1"/>
  <c r="AP341" i="1"/>
  <c r="AO342" i="1"/>
  <c r="AP342" i="1"/>
  <c r="AO343" i="1"/>
  <c r="AQ343" i="1" s="1"/>
  <c r="AP343" i="1"/>
  <c r="AO344" i="1"/>
  <c r="AQ344" i="1" s="1"/>
  <c r="AP344" i="1"/>
  <c r="AO345" i="1"/>
  <c r="AQ345" i="1" s="1"/>
  <c r="AP345" i="1"/>
  <c r="AO346" i="1"/>
  <c r="AP346" i="1"/>
  <c r="AO347" i="1"/>
  <c r="AQ347" i="1" s="1"/>
  <c r="AP347" i="1"/>
  <c r="AO348" i="1"/>
  <c r="AQ348" i="1" s="1"/>
  <c r="AP348" i="1"/>
  <c r="AO349" i="1"/>
  <c r="AQ349" i="1" s="1"/>
  <c r="AP349" i="1"/>
  <c r="AO350" i="1"/>
  <c r="AP350" i="1"/>
  <c r="AO351" i="1"/>
  <c r="AQ351" i="1" s="1"/>
  <c r="AP351" i="1"/>
  <c r="AO352" i="1"/>
  <c r="AQ352" i="1" s="1"/>
  <c r="AP352" i="1"/>
  <c r="AO353" i="1"/>
  <c r="AQ353" i="1" s="1"/>
  <c r="AP353" i="1"/>
  <c r="AO354" i="1"/>
  <c r="AP354" i="1"/>
  <c r="AO355" i="1"/>
  <c r="AQ355" i="1" s="1"/>
  <c r="AP355" i="1"/>
  <c r="AO356" i="1"/>
  <c r="AQ356" i="1" s="1"/>
  <c r="AP356" i="1"/>
  <c r="AO357" i="1"/>
  <c r="AQ357" i="1" s="1"/>
  <c r="AP357" i="1"/>
  <c r="AO358" i="1"/>
  <c r="AP358" i="1"/>
  <c r="AO359" i="1"/>
  <c r="AQ359" i="1" s="1"/>
  <c r="AP359" i="1"/>
  <c r="AO360" i="1"/>
  <c r="AQ360" i="1" s="1"/>
  <c r="AP360" i="1"/>
  <c r="AO361" i="1"/>
  <c r="AQ361" i="1" s="1"/>
  <c r="AP361" i="1"/>
  <c r="AO362" i="1"/>
  <c r="AP362" i="1"/>
  <c r="AO363" i="1"/>
  <c r="AQ363" i="1" s="1"/>
  <c r="AP363" i="1"/>
  <c r="AO364" i="1"/>
  <c r="AQ364" i="1" s="1"/>
  <c r="AP364" i="1"/>
  <c r="AO365" i="1"/>
  <c r="AQ365" i="1" s="1"/>
  <c r="AP365" i="1"/>
  <c r="AO366" i="1"/>
  <c r="AP366" i="1"/>
  <c r="AO367" i="1"/>
  <c r="AQ367" i="1" s="1"/>
  <c r="AP367" i="1"/>
  <c r="AO368" i="1"/>
  <c r="AQ368" i="1" s="1"/>
  <c r="AP368" i="1"/>
  <c r="AO369" i="1"/>
  <c r="AQ369" i="1" s="1"/>
  <c r="AP369" i="1"/>
  <c r="AO370" i="1"/>
  <c r="AP370" i="1"/>
  <c r="AO371" i="1"/>
  <c r="AQ371" i="1" s="1"/>
  <c r="AP371" i="1"/>
  <c r="AO372" i="1"/>
  <c r="AQ372" i="1" s="1"/>
  <c r="AP372" i="1"/>
  <c r="AO373" i="1"/>
  <c r="AQ373" i="1" s="1"/>
  <c r="AP373" i="1"/>
  <c r="AO374" i="1"/>
  <c r="AP374" i="1"/>
  <c r="AO375" i="1"/>
  <c r="AQ375" i="1" s="1"/>
  <c r="AP375" i="1"/>
  <c r="AO376" i="1"/>
  <c r="AQ376" i="1" s="1"/>
  <c r="AP376" i="1"/>
  <c r="AO377" i="1"/>
  <c r="AQ377" i="1" s="1"/>
  <c r="AP377" i="1"/>
  <c r="AO378" i="1"/>
  <c r="AP378" i="1"/>
  <c r="AO379" i="1"/>
  <c r="AQ379" i="1" s="1"/>
  <c r="AP379" i="1"/>
  <c r="AO380" i="1"/>
  <c r="AQ380" i="1" s="1"/>
  <c r="AP380" i="1"/>
  <c r="AO381" i="1"/>
  <c r="AQ381" i="1" s="1"/>
  <c r="AP381" i="1"/>
  <c r="AO382" i="1"/>
  <c r="AP382" i="1"/>
  <c r="AO383" i="1"/>
  <c r="AQ383" i="1" s="1"/>
  <c r="AP383" i="1"/>
  <c r="AO384" i="1"/>
  <c r="AQ384" i="1" s="1"/>
  <c r="AP384" i="1"/>
  <c r="AO385" i="1"/>
  <c r="AQ385" i="1" s="1"/>
  <c r="AP385" i="1"/>
  <c r="AO386" i="1"/>
  <c r="AP386" i="1"/>
  <c r="AO387" i="1"/>
  <c r="AQ387" i="1" s="1"/>
  <c r="AP387" i="1"/>
  <c r="AO388" i="1"/>
  <c r="AQ388" i="1" s="1"/>
  <c r="AP388" i="1"/>
  <c r="AO389" i="1"/>
  <c r="AQ389" i="1" s="1"/>
  <c r="AP389" i="1"/>
  <c r="AO390" i="1"/>
  <c r="AP390" i="1"/>
  <c r="AO391" i="1"/>
  <c r="AQ391" i="1" s="1"/>
  <c r="AP391" i="1"/>
  <c r="AO392" i="1"/>
  <c r="AQ392" i="1" s="1"/>
  <c r="AP392" i="1"/>
  <c r="AO393" i="1"/>
  <c r="AQ393" i="1" s="1"/>
  <c r="AP393" i="1"/>
  <c r="AO394" i="1"/>
  <c r="AP394" i="1"/>
  <c r="AO395" i="1"/>
  <c r="AQ395" i="1" s="1"/>
  <c r="AP395" i="1"/>
  <c r="AO396" i="1"/>
  <c r="AQ396" i="1" s="1"/>
  <c r="AP396" i="1"/>
  <c r="AO397" i="1"/>
  <c r="AQ397" i="1" s="1"/>
  <c r="AP397" i="1"/>
  <c r="AO398" i="1"/>
  <c r="AP398" i="1"/>
  <c r="AO399" i="1"/>
  <c r="AQ399" i="1" s="1"/>
  <c r="AP399" i="1"/>
  <c r="AO400" i="1"/>
  <c r="AQ400" i="1" s="1"/>
  <c r="AP400" i="1"/>
  <c r="AO401" i="1"/>
  <c r="AQ401" i="1" s="1"/>
  <c r="AP401" i="1"/>
  <c r="AO402" i="1"/>
  <c r="AP402" i="1"/>
  <c r="AO403" i="1"/>
  <c r="AQ403" i="1" s="1"/>
  <c r="AP403" i="1"/>
  <c r="AO404" i="1"/>
  <c r="AQ404" i="1" s="1"/>
  <c r="AP404" i="1"/>
  <c r="AO405" i="1"/>
  <c r="AQ405" i="1" s="1"/>
  <c r="AP405" i="1"/>
  <c r="AO406" i="1"/>
  <c r="AP406" i="1"/>
  <c r="AO407" i="1"/>
  <c r="AQ407" i="1" s="1"/>
  <c r="AP407" i="1"/>
  <c r="AO408" i="1"/>
  <c r="AQ408" i="1" s="1"/>
  <c r="AP408" i="1"/>
  <c r="AO409" i="1"/>
  <c r="AQ409" i="1" s="1"/>
  <c r="AP409" i="1"/>
  <c r="AO410" i="1"/>
  <c r="AP410" i="1"/>
  <c r="AO411" i="1"/>
  <c r="AQ411" i="1" s="1"/>
  <c r="AP411" i="1"/>
  <c r="AO412" i="1"/>
  <c r="AQ412" i="1" s="1"/>
  <c r="AP412" i="1"/>
  <c r="AO413" i="1"/>
  <c r="AQ413" i="1" s="1"/>
  <c r="AP413" i="1"/>
  <c r="AO414" i="1"/>
  <c r="AP414" i="1"/>
  <c r="AO415" i="1"/>
  <c r="AQ415" i="1" s="1"/>
  <c r="AP415" i="1"/>
  <c r="AO416" i="1"/>
  <c r="AQ416" i="1" s="1"/>
  <c r="AP416" i="1"/>
  <c r="AO417" i="1"/>
  <c r="AQ417" i="1" s="1"/>
  <c r="AP417" i="1"/>
  <c r="AO418" i="1"/>
  <c r="AP418" i="1"/>
  <c r="AO419" i="1"/>
  <c r="AQ419" i="1" s="1"/>
  <c r="AP419" i="1"/>
  <c r="AO420" i="1"/>
  <c r="AQ420" i="1" s="1"/>
  <c r="AP420" i="1"/>
  <c r="AO421" i="1"/>
  <c r="AQ421" i="1" s="1"/>
  <c r="AP421" i="1"/>
  <c r="AO422" i="1"/>
  <c r="AP422" i="1"/>
  <c r="AO423" i="1"/>
  <c r="AQ423" i="1" s="1"/>
  <c r="AP423" i="1"/>
  <c r="AO424" i="1"/>
  <c r="AQ424" i="1" s="1"/>
  <c r="AP424" i="1"/>
  <c r="AO425" i="1"/>
  <c r="AQ425" i="1" s="1"/>
  <c r="AP425" i="1"/>
  <c r="AO426" i="1"/>
  <c r="AP426" i="1"/>
  <c r="AO427" i="1"/>
  <c r="AQ427" i="1" s="1"/>
  <c r="AP427" i="1"/>
  <c r="AO428" i="1"/>
  <c r="AQ428" i="1" s="1"/>
  <c r="AP428" i="1"/>
  <c r="AO429" i="1"/>
  <c r="AQ429" i="1" s="1"/>
  <c r="AP429" i="1"/>
  <c r="AO430" i="1"/>
  <c r="AP430" i="1"/>
  <c r="AO431" i="1"/>
  <c r="AQ431" i="1" s="1"/>
  <c r="AP431" i="1"/>
  <c r="AO432" i="1"/>
  <c r="AQ432" i="1" s="1"/>
  <c r="AP432" i="1"/>
  <c r="AO433" i="1"/>
  <c r="AQ433" i="1" s="1"/>
  <c r="AP433" i="1"/>
  <c r="AO434" i="1"/>
  <c r="AP434" i="1"/>
  <c r="AO435" i="1"/>
  <c r="AQ435" i="1" s="1"/>
  <c r="AP435" i="1"/>
  <c r="AO436" i="1"/>
  <c r="AQ436" i="1" s="1"/>
  <c r="AP436" i="1"/>
  <c r="AO437" i="1"/>
  <c r="AQ437" i="1" s="1"/>
  <c r="AP437" i="1"/>
  <c r="AO438" i="1"/>
  <c r="AP438" i="1"/>
  <c r="AO439" i="1"/>
  <c r="AQ439" i="1" s="1"/>
  <c r="AP439" i="1"/>
  <c r="AO440" i="1"/>
  <c r="AQ440" i="1" s="1"/>
  <c r="AP440" i="1"/>
  <c r="AO441" i="1"/>
  <c r="AQ441" i="1" s="1"/>
  <c r="AP441" i="1"/>
  <c r="AO442" i="1"/>
  <c r="AP442" i="1"/>
  <c r="AO443" i="1"/>
  <c r="AQ443" i="1" s="1"/>
  <c r="AP443" i="1"/>
  <c r="AO444" i="1"/>
  <c r="AQ444" i="1" s="1"/>
  <c r="AP444" i="1"/>
  <c r="AO445" i="1"/>
  <c r="AQ445" i="1" s="1"/>
  <c r="AP445" i="1"/>
  <c r="AO446" i="1"/>
  <c r="AP446" i="1"/>
  <c r="AO447" i="1"/>
  <c r="AQ447" i="1" s="1"/>
  <c r="AP447" i="1"/>
  <c r="AO448" i="1"/>
  <c r="AQ448" i="1" s="1"/>
  <c r="AP448" i="1"/>
  <c r="AO449" i="1"/>
  <c r="AQ449" i="1" s="1"/>
  <c r="AP449" i="1"/>
  <c r="AO450" i="1"/>
  <c r="AP450" i="1"/>
  <c r="AO451" i="1"/>
  <c r="AQ451" i="1" s="1"/>
  <c r="AP451" i="1"/>
  <c r="AO452" i="1"/>
  <c r="AQ452" i="1" s="1"/>
  <c r="AP452" i="1"/>
  <c r="AO453" i="1"/>
  <c r="AQ453" i="1" s="1"/>
  <c r="AP453" i="1"/>
  <c r="AO454" i="1"/>
  <c r="AP454" i="1"/>
  <c r="AO455" i="1"/>
  <c r="AQ455" i="1" s="1"/>
  <c r="AP455" i="1"/>
  <c r="AO456" i="1"/>
  <c r="AQ456" i="1" s="1"/>
  <c r="AP456" i="1"/>
  <c r="AO457" i="1"/>
  <c r="AQ457" i="1" s="1"/>
  <c r="AP457" i="1"/>
  <c r="AO458" i="1"/>
  <c r="AP458" i="1"/>
  <c r="AO459" i="1"/>
  <c r="AQ459" i="1" s="1"/>
  <c r="AP459" i="1"/>
  <c r="AO460" i="1"/>
  <c r="AQ460" i="1" s="1"/>
  <c r="AP460" i="1"/>
  <c r="AO461" i="1"/>
  <c r="AQ461" i="1" s="1"/>
  <c r="AP461" i="1"/>
  <c r="AO462" i="1"/>
  <c r="AP462" i="1"/>
  <c r="AO463" i="1"/>
  <c r="AQ463" i="1" s="1"/>
  <c r="AP463" i="1"/>
  <c r="AO464" i="1"/>
  <c r="AQ464" i="1" s="1"/>
  <c r="AP464" i="1"/>
  <c r="AO465" i="1"/>
  <c r="AQ465" i="1" s="1"/>
  <c r="AP465" i="1"/>
  <c r="AO466" i="1"/>
  <c r="AP466" i="1"/>
  <c r="AO467" i="1"/>
  <c r="AQ467" i="1" s="1"/>
  <c r="AP467" i="1"/>
  <c r="AO468" i="1"/>
  <c r="AQ468" i="1" s="1"/>
  <c r="AP468" i="1"/>
  <c r="AO469" i="1"/>
  <c r="AQ469" i="1" s="1"/>
  <c r="AP469" i="1"/>
  <c r="AO470" i="1"/>
  <c r="AP470" i="1"/>
  <c r="AO471" i="1"/>
  <c r="AQ471" i="1" s="1"/>
  <c r="AP471" i="1"/>
  <c r="AO472" i="1"/>
  <c r="AQ472" i="1" s="1"/>
  <c r="AP472" i="1"/>
  <c r="AO473" i="1"/>
  <c r="AQ473" i="1" s="1"/>
  <c r="AP473" i="1"/>
  <c r="AO474" i="1"/>
  <c r="AP474" i="1"/>
  <c r="AO475" i="1"/>
  <c r="AQ475" i="1" s="1"/>
  <c r="AP475" i="1"/>
  <c r="AO476" i="1"/>
  <c r="AQ476" i="1" s="1"/>
  <c r="AP476" i="1"/>
  <c r="AO477" i="1"/>
  <c r="AQ477" i="1" s="1"/>
  <c r="AP477" i="1"/>
  <c r="AO478" i="1"/>
  <c r="AP478" i="1"/>
  <c r="AO479" i="1"/>
  <c r="AQ479" i="1" s="1"/>
  <c r="AP479" i="1"/>
  <c r="AO480" i="1"/>
  <c r="AQ480" i="1" s="1"/>
  <c r="AP480" i="1"/>
  <c r="AO481" i="1"/>
  <c r="AQ481" i="1" s="1"/>
  <c r="AP481" i="1"/>
  <c r="AO482" i="1"/>
  <c r="AP482" i="1"/>
  <c r="AO483" i="1"/>
  <c r="AQ483" i="1" s="1"/>
  <c r="AP483" i="1"/>
  <c r="AO484" i="1"/>
  <c r="AQ484" i="1" s="1"/>
  <c r="AP484" i="1"/>
  <c r="AO485" i="1"/>
  <c r="AQ485" i="1" s="1"/>
  <c r="AP485" i="1"/>
  <c r="AO486" i="1"/>
  <c r="AP486" i="1"/>
  <c r="AO487" i="1"/>
  <c r="AQ487" i="1" s="1"/>
  <c r="AP487" i="1"/>
  <c r="AO488" i="1"/>
  <c r="AQ488" i="1" s="1"/>
  <c r="AP488" i="1"/>
  <c r="AO489" i="1"/>
  <c r="AQ489" i="1" s="1"/>
  <c r="AP489" i="1"/>
  <c r="AO490" i="1"/>
  <c r="AP490" i="1"/>
  <c r="AO491" i="1"/>
  <c r="AQ491" i="1" s="1"/>
  <c r="AP491" i="1"/>
  <c r="AO492" i="1"/>
  <c r="AQ492" i="1" s="1"/>
  <c r="AP492" i="1"/>
  <c r="AO493" i="1"/>
  <c r="AQ493" i="1" s="1"/>
  <c r="AP493" i="1"/>
  <c r="AO494" i="1"/>
  <c r="AP494" i="1"/>
  <c r="AO495" i="1"/>
  <c r="AQ495" i="1" s="1"/>
  <c r="AP495" i="1"/>
  <c r="AO496" i="1"/>
  <c r="AQ496" i="1" s="1"/>
  <c r="AP496" i="1"/>
  <c r="AO497" i="1"/>
  <c r="AQ497" i="1" s="1"/>
  <c r="AP497" i="1"/>
  <c r="AO498" i="1"/>
  <c r="AP498" i="1"/>
  <c r="AO499" i="1"/>
  <c r="AQ499" i="1" s="1"/>
  <c r="AP499" i="1"/>
  <c r="AO500" i="1"/>
  <c r="AQ500" i="1" s="1"/>
  <c r="AP500" i="1"/>
  <c r="AO501" i="1"/>
  <c r="AQ501" i="1" s="1"/>
  <c r="AP501" i="1"/>
  <c r="AO502" i="1"/>
  <c r="AP502" i="1"/>
  <c r="AO503" i="1"/>
  <c r="AQ503" i="1" s="1"/>
  <c r="AP503" i="1"/>
  <c r="AO504" i="1"/>
  <c r="AQ504" i="1" s="1"/>
  <c r="AP504" i="1"/>
  <c r="AO505" i="1"/>
  <c r="AQ505" i="1" s="1"/>
  <c r="AP505" i="1"/>
  <c r="AO506" i="1"/>
  <c r="AP506" i="1"/>
  <c r="AO507" i="1"/>
  <c r="AQ507" i="1" s="1"/>
  <c r="AP507" i="1"/>
  <c r="AO508" i="1"/>
  <c r="AQ508" i="1" s="1"/>
  <c r="AP508" i="1"/>
  <c r="AO509" i="1"/>
  <c r="AQ509" i="1" s="1"/>
  <c r="AP509" i="1"/>
  <c r="AO510" i="1"/>
  <c r="AP510" i="1"/>
  <c r="AO511" i="1"/>
  <c r="AQ511" i="1" s="1"/>
  <c r="AP511" i="1"/>
  <c r="AO512" i="1"/>
  <c r="AQ512" i="1" s="1"/>
  <c r="AP512" i="1"/>
  <c r="AO513" i="1"/>
  <c r="AQ513" i="1" s="1"/>
  <c r="AP513" i="1"/>
  <c r="AO514" i="1"/>
  <c r="AP514" i="1"/>
  <c r="AO515" i="1"/>
  <c r="AQ515" i="1" s="1"/>
  <c r="AP515" i="1"/>
  <c r="AO516" i="1"/>
  <c r="AQ516" i="1" s="1"/>
  <c r="AP516" i="1"/>
  <c r="AO517" i="1"/>
  <c r="AQ517" i="1" s="1"/>
  <c r="AP517" i="1"/>
  <c r="AO518" i="1"/>
  <c r="AP518" i="1"/>
  <c r="AO519" i="1"/>
  <c r="AQ519" i="1" s="1"/>
  <c r="AP519" i="1"/>
  <c r="AO520" i="1"/>
  <c r="AQ520" i="1" s="1"/>
  <c r="AP520" i="1"/>
  <c r="AO521" i="1"/>
  <c r="AQ521" i="1" s="1"/>
  <c r="AP521" i="1"/>
  <c r="AO522" i="1"/>
  <c r="AP522" i="1"/>
  <c r="AO523" i="1"/>
  <c r="AQ523" i="1" s="1"/>
  <c r="AP523" i="1"/>
  <c r="AO524" i="1"/>
  <c r="AQ524" i="1" s="1"/>
  <c r="AP524" i="1"/>
  <c r="AO525" i="1"/>
  <c r="AQ525" i="1" s="1"/>
  <c r="AP525" i="1"/>
  <c r="AO526" i="1"/>
  <c r="AP526" i="1"/>
  <c r="AO527" i="1"/>
  <c r="AQ527" i="1" s="1"/>
  <c r="AP527" i="1"/>
  <c r="AO528" i="1"/>
  <c r="AQ528" i="1" s="1"/>
  <c r="AP528" i="1"/>
  <c r="AO529" i="1"/>
  <c r="AQ529" i="1" s="1"/>
  <c r="AP529" i="1"/>
  <c r="AO530" i="1"/>
  <c r="AP530" i="1"/>
  <c r="AO531" i="1"/>
  <c r="AQ531" i="1" s="1"/>
  <c r="AP531" i="1"/>
  <c r="AO532" i="1"/>
  <c r="AQ532" i="1" s="1"/>
  <c r="AP532" i="1"/>
  <c r="AO533" i="1"/>
  <c r="AQ533" i="1" s="1"/>
  <c r="AP533" i="1"/>
  <c r="AO534" i="1"/>
  <c r="AP534" i="1"/>
  <c r="AO535" i="1"/>
  <c r="AQ535" i="1" s="1"/>
  <c r="AP535" i="1"/>
  <c r="AO536" i="1"/>
  <c r="AQ536" i="1" s="1"/>
  <c r="AP536" i="1"/>
  <c r="AO537" i="1"/>
  <c r="AQ537" i="1" s="1"/>
  <c r="AP537" i="1"/>
  <c r="AO538" i="1"/>
  <c r="AP538" i="1"/>
  <c r="AO539" i="1"/>
  <c r="AQ539" i="1" s="1"/>
  <c r="AP539" i="1"/>
  <c r="AO540" i="1"/>
  <c r="AQ540" i="1" s="1"/>
  <c r="AP540" i="1"/>
  <c r="AO541" i="1"/>
  <c r="AQ541" i="1" s="1"/>
  <c r="AP541" i="1"/>
  <c r="AO542" i="1"/>
  <c r="AP542" i="1"/>
  <c r="AO543" i="1"/>
  <c r="AQ543" i="1" s="1"/>
  <c r="AP543" i="1"/>
  <c r="AO544" i="1"/>
  <c r="AQ544" i="1" s="1"/>
  <c r="AP544" i="1"/>
  <c r="AO545" i="1"/>
  <c r="AQ545" i="1" s="1"/>
  <c r="AP545" i="1"/>
  <c r="AO546" i="1"/>
  <c r="AP546" i="1"/>
  <c r="AO547" i="1"/>
  <c r="AQ547" i="1" s="1"/>
  <c r="AP547" i="1"/>
  <c r="AO548" i="1"/>
  <c r="AQ548" i="1" s="1"/>
  <c r="AP548" i="1"/>
  <c r="AO549" i="1"/>
  <c r="AQ549" i="1" s="1"/>
  <c r="AP549" i="1"/>
  <c r="AO550" i="1"/>
  <c r="AP550" i="1"/>
  <c r="AO551" i="1"/>
  <c r="AQ551" i="1" s="1"/>
  <c r="AP551" i="1"/>
  <c r="AO552" i="1"/>
  <c r="AQ552" i="1" s="1"/>
  <c r="AP552" i="1"/>
  <c r="AO553" i="1"/>
  <c r="AQ553" i="1" s="1"/>
  <c r="AP553" i="1"/>
  <c r="AO554" i="1"/>
  <c r="AP554" i="1"/>
  <c r="AO555" i="1"/>
  <c r="AQ555" i="1" s="1"/>
  <c r="AP555" i="1"/>
  <c r="AO556" i="1"/>
  <c r="AQ556" i="1" s="1"/>
  <c r="AP556" i="1"/>
  <c r="AO557" i="1"/>
  <c r="AQ557" i="1" s="1"/>
  <c r="AP557" i="1"/>
  <c r="AO558" i="1"/>
  <c r="AP558" i="1"/>
  <c r="AO559" i="1"/>
  <c r="AQ559" i="1" s="1"/>
  <c r="AP559" i="1"/>
  <c r="AO560" i="1"/>
  <c r="AQ560" i="1" s="1"/>
  <c r="AP560" i="1"/>
  <c r="AO561" i="1"/>
  <c r="AQ561" i="1" s="1"/>
  <c r="AP561" i="1"/>
  <c r="AO562" i="1"/>
  <c r="AP562" i="1"/>
  <c r="AO563" i="1"/>
  <c r="AQ563" i="1" s="1"/>
  <c r="AP563" i="1"/>
  <c r="AO564" i="1"/>
  <c r="AQ564" i="1" s="1"/>
  <c r="AP564" i="1"/>
  <c r="AO565" i="1"/>
  <c r="AQ565" i="1" s="1"/>
  <c r="AP565" i="1"/>
  <c r="AO566" i="1"/>
  <c r="AP566" i="1"/>
  <c r="AO567" i="1"/>
  <c r="AQ567" i="1" s="1"/>
  <c r="AP567" i="1"/>
  <c r="AO568" i="1"/>
  <c r="AQ568" i="1" s="1"/>
  <c r="AP568" i="1"/>
  <c r="AO569" i="1"/>
  <c r="AQ569" i="1" s="1"/>
  <c r="AP569" i="1"/>
  <c r="AO570" i="1"/>
  <c r="AP570" i="1"/>
  <c r="AO571" i="1"/>
  <c r="AQ571" i="1" s="1"/>
  <c r="AP571" i="1"/>
  <c r="AO572" i="1"/>
  <c r="AQ572" i="1" s="1"/>
  <c r="AP572" i="1"/>
  <c r="AO573" i="1"/>
  <c r="AQ573" i="1" s="1"/>
  <c r="AP573" i="1"/>
  <c r="AO574" i="1"/>
  <c r="AP574" i="1"/>
  <c r="AO575" i="1"/>
  <c r="AQ575" i="1" s="1"/>
  <c r="AP575" i="1"/>
  <c r="AO576" i="1"/>
  <c r="AQ576" i="1" s="1"/>
  <c r="AP576" i="1"/>
  <c r="AO577" i="1"/>
  <c r="AQ577" i="1" s="1"/>
  <c r="AP577" i="1"/>
  <c r="AO578" i="1"/>
  <c r="AP578" i="1"/>
  <c r="AO579" i="1"/>
  <c r="AQ579" i="1" s="1"/>
  <c r="AP579" i="1"/>
  <c r="AO580" i="1"/>
  <c r="AQ580" i="1" s="1"/>
  <c r="AP580" i="1"/>
  <c r="AO581" i="1"/>
  <c r="AQ581" i="1" s="1"/>
  <c r="AP581" i="1"/>
  <c r="AO582" i="1"/>
  <c r="AP582" i="1"/>
  <c r="AO583" i="1"/>
  <c r="AQ583" i="1" s="1"/>
  <c r="AP583" i="1"/>
  <c r="AO584" i="1"/>
  <c r="AQ584" i="1" s="1"/>
  <c r="AP584" i="1"/>
  <c r="AO585" i="1"/>
  <c r="AQ585" i="1" s="1"/>
  <c r="AP585" i="1"/>
  <c r="AO586" i="1"/>
  <c r="AP586" i="1"/>
  <c r="AO587" i="1"/>
  <c r="AQ587" i="1" s="1"/>
  <c r="AP587" i="1"/>
  <c r="AO588" i="1"/>
  <c r="AQ588" i="1" s="1"/>
  <c r="AP588" i="1"/>
  <c r="AO589" i="1"/>
  <c r="AQ589" i="1" s="1"/>
  <c r="AP589" i="1"/>
  <c r="AO590" i="1"/>
  <c r="AP590" i="1"/>
  <c r="AO591" i="1"/>
  <c r="AQ591" i="1" s="1"/>
  <c r="AP591" i="1"/>
  <c r="AO592" i="1"/>
  <c r="AQ592" i="1" s="1"/>
  <c r="AP592" i="1"/>
  <c r="AO593" i="1"/>
  <c r="AQ593" i="1" s="1"/>
  <c r="AP593" i="1"/>
  <c r="AO594" i="1"/>
  <c r="AP594" i="1"/>
  <c r="AO595" i="1"/>
  <c r="AQ595" i="1" s="1"/>
  <c r="AP595" i="1"/>
  <c r="AO596" i="1"/>
  <c r="AQ596" i="1" s="1"/>
  <c r="AP596" i="1"/>
  <c r="AO597" i="1"/>
  <c r="AQ597" i="1" s="1"/>
  <c r="AP597" i="1"/>
  <c r="AO598" i="1"/>
  <c r="AP598" i="1"/>
  <c r="AO599" i="1"/>
  <c r="AQ599" i="1" s="1"/>
  <c r="AP599" i="1"/>
  <c r="AO600" i="1"/>
  <c r="AQ600" i="1" s="1"/>
  <c r="AP600" i="1"/>
  <c r="AO601" i="1"/>
  <c r="AQ601" i="1" s="1"/>
  <c r="AP601" i="1"/>
  <c r="AO602" i="1"/>
  <c r="AP602" i="1"/>
  <c r="AO603" i="1"/>
  <c r="AQ603" i="1" s="1"/>
  <c r="AP603" i="1"/>
  <c r="AO604" i="1"/>
  <c r="AQ604" i="1" s="1"/>
  <c r="AP604" i="1"/>
  <c r="AO605" i="1"/>
  <c r="AQ605" i="1" s="1"/>
  <c r="AP605" i="1"/>
  <c r="AO606" i="1"/>
  <c r="AP606" i="1"/>
  <c r="AO607" i="1"/>
  <c r="AQ607" i="1" s="1"/>
  <c r="AP607" i="1"/>
  <c r="AO608" i="1"/>
  <c r="AQ608" i="1" s="1"/>
  <c r="AP608" i="1"/>
  <c r="AO609" i="1"/>
  <c r="AQ609" i="1" s="1"/>
  <c r="AP609" i="1"/>
  <c r="AO610" i="1"/>
  <c r="AP610" i="1"/>
  <c r="AO611" i="1"/>
  <c r="AQ611" i="1" s="1"/>
  <c r="AP611" i="1"/>
  <c r="AO612" i="1"/>
  <c r="AQ612" i="1" s="1"/>
  <c r="AP612" i="1"/>
  <c r="AO613" i="1"/>
  <c r="AQ613" i="1" s="1"/>
  <c r="AP613" i="1"/>
  <c r="AO614" i="1"/>
  <c r="AP614" i="1"/>
  <c r="AO615" i="1"/>
  <c r="AQ615" i="1" s="1"/>
  <c r="AP615" i="1"/>
  <c r="AO616" i="1"/>
  <c r="AQ616" i="1" s="1"/>
  <c r="AP616" i="1"/>
  <c r="AO617" i="1"/>
  <c r="AQ617" i="1" s="1"/>
  <c r="AP617" i="1"/>
  <c r="AO618" i="1"/>
  <c r="AP618" i="1"/>
  <c r="AO619" i="1"/>
  <c r="AQ619" i="1" s="1"/>
  <c r="AP619" i="1"/>
  <c r="AO620" i="1"/>
  <c r="AQ620" i="1" s="1"/>
  <c r="AP620" i="1"/>
  <c r="AO621" i="1"/>
  <c r="AQ621" i="1" s="1"/>
  <c r="AP621" i="1"/>
  <c r="AO622" i="1"/>
  <c r="AP622" i="1"/>
  <c r="AO623" i="1"/>
  <c r="AQ623" i="1" s="1"/>
  <c r="AP623" i="1"/>
  <c r="AO624" i="1"/>
  <c r="AQ624" i="1" s="1"/>
  <c r="AP624" i="1"/>
  <c r="AO625" i="1"/>
  <c r="AQ625" i="1" s="1"/>
  <c r="AP625" i="1"/>
  <c r="AO626" i="1"/>
  <c r="AP626" i="1"/>
  <c r="AO627" i="1"/>
  <c r="AQ627" i="1" s="1"/>
  <c r="AP627" i="1"/>
  <c r="AO628" i="1"/>
  <c r="AQ628" i="1" s="1"/>
  <c r="AP628" i="1"/>
  <c r="AO629" i="1"/>
  <c r="AQ629" i="1" s="1"/>
  <c r="AP629" i="1"/>
  <c r="AO630" i="1"/>
  <c r="AP630" i="1"/>
  <c r="AO631" i="1"/>
  <c r="AQ631" i="1" s="1"/>
  <c r="AP631" i="1"/>
  <c r="AO632" i="1"/>
  <c r="AQ632" i="1" s="1"/>
  <c r="AP632" i="1"/>
  <c r="AO633" i="1"/>
  <c r="AQ633" i="1" s="1"/>
  <c r="AP633" i="1"/>
  <c r="AO634" i="1"/>
  <c r="AP634" i="1"/>
  <c r="AO635" i="1"/>
  <c r="AQ635" i="1" s="1"/>
  <c r="AP635" i="1"/>
  <c r="AO636" i="1"/>
  <c r="AQ636" i="1" s="1"/>
  <c r="AP636" i="1"/>
  <c r="AO637" i="1"/>
  <c r="AQ637" i="1" s="1"/>
  <c r="AP637" i="1"/>
  <c r="AO638" i="1"/>
  <c r="AP638" i="1"/>
  <c r="AO639" i="1"/>
  <c r="AQ639" i="1" s="1"/>
  <c r="AP639" i="1"/>
  <c r="AO640" i="1"/>
  <c r="AQ640" i="1" s="1"/>
  <c r="AP640" i="1"/>
  <c r="AO641" i="1"/>
  <c r="AQ641" i="1" s="1"/>
  <c r="AP641" i="1"/>
  <c r="AO642" i="1"/>
  <c r="AP642" i="1"/>
  <c r="AO643" i="1"/>
  <c r="AQ643" i="1" s="1"/>
  <c r="AP643" i="1"/>
  <c r="AO644" i="1"/>
  <c r="AQ644" i="1" s="1"/>
  <c r="AP644" i="1"/>
  <c r="AO645" i="1"/>
  <c r="AQ645" i="1" s="1"/>
  <c r="AP645" i="1"/>
  <c r="AO646" i="1"/>
  <c r="AP646" i="1"/>
  <c r="AO647" i="1"/>
  <c r="AQ647" i="1" s="1"/>
  <c r="AP647" i="1"/>
  <c r="AO648" i="1"/>
  <c r="AQ648" i="1" s="1"/>
  <c r="AP648" i="1"/>
  <c r="AO649" i="1"/>
  <c r="AQ649" i="1" s="1"/>
  <c r="AP649" i="1"/>
  <c r="AO650" i="1"/>
  <c r="AP650" i="1"/>
  <c r="AO651" i="1"/>
  <c r="AQ651" i="1" s="1"/>
  <c r="AP651" i="1"/>
  <c r="AO652" i="1"/>
  <c r="AQ652" i="1" s="1"/>
  <c r="AP652" i="1"/>
  <c r="AO653" i="1"/>
  <c r="AQ653" i="1" s="1"/>
  <c r="AP653" i="1"/>
  <c r="AO654" i="1"/>
  <c r="AP654" i="1"/>
  <c r="AO655" i="1"/>
  <c r="AQ655" i="1" s="1"/>
  <c r="AP655" i="1"/>
  <c r="AO656" i="1"/>
  <c r="AQ656" i="1" s="1"/>
  <c r="AP656" i="1"/>
  <c r="AO657" i="1"/>
  <c r="AQ657" i="1" s="1"/>
  <c r="AP657" i="1"/>
  <c r="AO658" i="1"/>
  <c r="AP658" i="1"/>
  <c r="AO659" i="1"/>
  <c r="AQ659" i="1" s="1"/>
  <c r="AP659" i="1"/>
  <c r="AO660" i="1"/>
  <c r="AQ660" i="1" s="1"/>
  <c r="AP660" i="1"/>
  <c r="AO661" i="1"/>
  <c r="AQ661" i="1" s="1"/>
  <c r="AP661" i="1"/>
  <c r="AO662" i="1"/>
  <c r="AP662" i="1"/>
  <c r="AO663" i="1"/>
  <c r="AQ663" i="1" s="1"/>
  <c r="AP663" i="1"/>
  <c r="AO664" i="1"/>
  <c r="AQ664" i="1" s="1"/>
  <c r="AP664" i="1"/>
  <c r="AO665" i="1"/>
  <c r="AQ665" i="1" s="1"/>
  <c r="AP665" i="1"/>
  <c r="AO666" i="1"/>
  <c r="AP666" i="1"/>
  <c r="AO667" i="1"/>
  <c r="AQ667" i="1" s="1"/>
  <c r="AP667" i="1"/>
  <c r="AO668" i="1"/>
  <c r="AQ668" i="1" s="1"/>
  <c r="AP668" i="1"/>
  <c r="AO669" i="1"/>
  <c r="AQ669" i="1" s="1"/>
  <c r="AP669" i="1"/>
  <c r="AO670" i="1"/>
  <c r="AP670" i="1"/>
  <c r="AO671" i="1"/>
  <c r="AQ671" i="1" s="1"/>
  <c r="AP671" i="1"/>
  <c r="AO672" i="1"/>
  <c r="AQ672" i="1" s="1"/>
  <c r="AP672" i="1"/>
  <c r="AO673" i="1"/>
  <c r="AQ673" i="1" s="1"/>
  <c r="AP673" i="1"/>
  <c r="AO674" i="1"/>
  <c r="AP674" i="1"/>
  <c r="AO675" i="1"/>
  <c r="AQ675" i="1" s="1"/>
  <c r="AP675" i="1"/>
  <c r="AO676" i="1"/>
  <c r="AQ676" i="1" s="1"/>
  <c r="AP676" i="1"/>
  <c r="AO677" i="1"/>
  <c r="AQ677" i="1" s="1"/>
  <c r="AP677" i="1"/>
  <c r="AO678" i="1"/>
  <c r="AP678" i="1"/>
  <c r="AO679" i="1"/>
  <c r="AQ679" i="1" s="1"/>
  <c r="AP679" i="1"/>
  <c r="AO680" i="1"/>
  <c r="AQ680" i="1" s="1"/>
  <c r="AP680" i="1"/>
  <c r="AO681" i="1"/>
  <c r="AQ681" i="1" s="1"/>
  <c r="AP681" i="1"/>
  <c r="AO682" i="1"/>
  <c r="AP682" i="1"/>
  <c r="AO683" i="1"/>
  <c r="AQ683" i="1" s="1"/>
  <c r="AP683" i="1"/>
  <c r="AO684" i="1"/>
  <c r="AQ684" i="1" s="1"/>
  <c r="AP684" i="1"/>
  <c r="AO685" i="1"/>
  <c r="AQ685" i="1" s="1"/>
  <c r="AP685" i="1"/>
  <c r="AO686" i="1"/>
  <c r="AP686" i="1"/>
  <c r="AO687" i="1"/>
  <c r="AQ687" i="1" s="1"/>
  <c r="AP687" i="1"/>
  <c r="AO688" i="1"/>
  <c r="AQ688" i="1" s="1"/>
  <c r="AP688" i="1"/>
  <c r="AO689" i="1"/>
  <c r="AQ689" i="1" s="1"/>
  <c r="AP689" i="1"/>
  <c r="AO690" i="1"/>
  <c r="AP690" i="1"/>
  <c r="AO691" i="1"/>
  <c r="AQ691" i="1" s="1"/>
  <c r="AP691" i="1"/>
  <c r="AO692" i="1"/>
  <c r="AQ692" i="1" s="1"/>
  <c r="AP692" i="1"/>
  <c r="AO693" i="1"/>
  <c r="AQ693" i="1" s="1"/>
  <c r="AP693" i="1"/>
  <c r="AO694" i="1"/>
  <c r="AP694" i="1"/>
  <c r="AO695" i="1"/>
  <c r="AQ695" i="1" s="1"/>
  <c r="AP695" i="1"/>
  <c r="AO696" i="1"/>
  <c r="AQ696" i="1" s="1"/>
  <c r="AP696" i="1"/>
  <c r="AO697" i="1"/>
  <c r="AQ697" i="1" s="1"/>
  <c r="AP697" i="1"/>
  <c r="AO698" i="1"/>
  <c r="AP698" i="1"/>
  <c r="AO699" i="1"/>
  <c r="AQ699" i="1" s="1"/>
  <c r="AP699" i="1"/>
  <c r="AO700" i="1"/>
  <c r="AQ700" i="1" s="1"/>
  <c r="AP700" i="1"/>
  <c r="AO701" i="1"/>
  <c r="AQ701" i="1" s="1"/>
  <c r="AP701" i="1"/>
  <c r="AO702" i="1"/>
  <c r="AP702" i="1"/>
  <c r="AO703" i="1"/>
  <c r="AQ703" i="1" s="1"/>
  <c r="AP703" i="1"/>
  <c r="AO704" i="1"/>
  <c r="AQ704" i="1" s="1"/>
  <c r="AP704" i="1"/>
  <c r="AO705" i="1"/>
  <c r="AQ705" i="1" s="1"/>
  <c r="AP705" i="1"/>
  <c r="AO706" i="1"/>
  <c r="AP706" i="1"/>
  <c r="AO707" i="1"/>
  <c r="AQ707" i="1" s="1"/>
  <c r="AP707" i="1"/>
  <c r="AO708" i="1"/>
  <c r="AQ708" i="1" s="1"/>
  <c r="AP708" i="1"/>
  <c r="AO709" i="1"/>
  <c r="AQ709" i="1" s="1"/>
  <c r="AP709" i="1"/>
  <c r="AO710" i="1"/>
  <c r="AP710" i="1"/>
  <c r="AO711" i="1"/>
  <c r="AQ711" i="1" s="1"/>
  <c r="AP711" i="1"/>
  <c r="AO712" i="1"/>
  <c r="AQ712" i="1" s="1"/>
  <c r="AP712" i="1"/>
  <c r="AO713" i="1"/>
  <c r="AQ713" i="1" s="1"/>
  <c r="AP713" i="1"/>
  <c r="AO714" i="1"/>
  <c r="AP714" i="1"/>
  <c r="AO715" i="1"/>
  <c r="AQ715" i="1" s="1"/>
  <c r="AP715" i="1"/>
  <c r="AO716" i="1"/>
  <c r="AQ716" i="1" s="1"/>
  <c r="AP716" i="1"/>
  <c r="AO717" i="1"/>
  <c r="AQ717" i="1" s="1"/>
  <c r="AP717" i="1"/>
  <c r="AO718" i="1"/>
  <c r="AP718" i="1"/>
  <c r="AO719" i="1"/>
  <c r="AQ719" i="1" s="1"/>
  <c r="AP719" i="1"/>
  <c r="AO720" i="1"/>
  <c r="AQ720" i="1" s="1"/>
  <c r="AP720" i="1"/>
  <c r="AO721" i="1"/>
  <c r="AQ721" i="1" s="1"/>
  <c r="AP721" i="1"/>
  <c r="AO722" i="1"/>
  <c r="AP722" i="1"/>
  <c r="AO723" i="1"/>
  <c r="AQ723" i="1" s="1"/>
  <c r="AP723" i="1"/>
  <c r="AO724" i="1"/>
  <c r="AQ724" i="1" s="1"/>
  <c r="AP724" i="1"/>
  <c r="AO725" i="1"/>
  <c r="AQ725" i="1" s="1"/>
  <c r="AP725" i="1"/>
  <c r="AO726" i="1"/>
  <c r="AP726" i="1"/>
  <c r="AO727" i="1"/>
  <c r="AQ727" i="1" s="1"/>
  <c r="AP727" i="1"/>
  <c r="AO728" i="1"/>
  <c r="AQ728" i="1" s="1"/>
  <c r="AP728" i="1"/>
  <c r="AO729" i="1"/>
  <c r="AQ729" i="1" s="1"/>
  <c r="AP729" i="1"/>
  <c r="AO730" i="1"/>
  <c r="AP730" i="1"/>
  <c r="AO731" i="1"/>
  <c r="AQ731" i="1" s="1"/>
  <c r="AP731" i="1"/>
  <c r="AO732" i="1"/>
  <c r="AQ732" i="1" s="1"/>
  <c r="AP732" i="1"/>
  <c r="AO733" i="1"/>
  <c r="AQ733" i="1" s="1"/>
  <c r="AP733" i="1"/>
  <c r="AO734" i="1"/>
  <c r="AP734" i="1"/>
  <c r="AO735" i="1"/>
  <c r="AQ735" i="1" s="1"/>
  <c r="AP735" i="1"/>
  <c r="AO736" i="1"/>
  <c r="AQ736" i="1" s="1"/>
  <c r="AP736" i="1"/>
  <c r="AO737" i="1"/>
  <c r="AQ737" i="1" s="1"/>
  <c r="AP737" i="1"/>
  <c r="AO738" i="1"/>
  <c r="AP738" i="1"/>
  <c r="AO739" i="1"/>
  <c r="AQ739" i="1" s="1"/>
  <c r="AP739" i="1"/>
  <c r="AO740" i="1"/>
  <c r="AQ740" i="1" s="1"/>
  <c r="AP740" i="1"/>
  <c r="AO741" i="1"/>
  <c r="AQ741" i="1" s="1"/>
  <c r="AP741" i="1"/>
  <c r="AO742" i="1"/>
  <c r="AP742" i="1"/>
  <c r="AO743" i="1"/>
  <c r="AQ743" i="1" s="1"/>
  <c r="AP743" i="1"/>
  <c r="AO744" i="1"/>
  <c r="AQ744" i="1" s="1"/>
  <c r="AP744" i="1"/>
  <c r="AO745" i="1"/>
  <c r="AQ745" i="1" s="1"/>
  <c r="AP745" i="1"/>
  <c r="AO746" i="1"/>
  <c r="AP746" i="1"/>
  <c r="AO747" i="1"/>
  <c r="AQ747" i="1" s="1"/>
  <c r="AP747" i="1"/>
  <c r="AO748" i="1"/>
  <c r="AQ748" i="1" s="1"/>
  <c r="AP748" i="1"/>
  <c r="AO749" i="1"/>
  <c r="AQ749" i="1" s="1"/>
  <c r="AP749" i="1"/>
  <c r="AO750" i="1"/>
  <c r="AP750" i="1"/>
  <c r="AO751" i="1"/>
  <c r="AQ751" i="1" s="1"/>
  <c r="AP751" i="1"/>
  <c r="AO752" i="1"/>
  <c r="AQ752" i="1" s="1"/>
  <c r="AP752" i="1"/>
  <c r="AO753" i="1"/>
  <c r="AQ753" i="1" s="1"/>
  <c r="AP753" i="1"/>
  <c r="AO754" i="1"/>
  <c r="AP754" i="1"/>
  <c r="AO755" i="1"/>
  <c r="AQ755" i="1" s="1"/>
  <c r="AP755" i="1"/>
  <c r="AO756" i="1"/>
  <c r="AQ756" i="1" s="1"/>
  <c r="AP756" i="1"/>
  <c r="AO757" i="1"/>
  <c r="AQ757" i="1" s="1"/>
  <c r="AP757" i="1"/>
  <c r="AO758" i="1"/>
  <c r="AP758" i="1"/>
  <c r="AO759" i="1"/>
  <c r="AQ759" i="1" s="1"/>
  <c r="AP759" i="1"/>
  <c r="AO760" i="1"/>
  <c r="AQ760" i="1" s="1"/>
  <c r="AP760" i="1"/>
  <c r="AO761" i="1"/>
  <c r="AQ761" i="1" s="1"/>
  <c r="AP761" i="1"/>
  <c r="AO762" i="1"/>
  <c r="AP762" i="1"/>
  <c r="AO763" i="1"/>
  <c r="AQ763" i="1" s="1"/>
  <c r="AP763" i="1"/>
  <c r="AO764" i="1"/>
  <c r="AQ764" i="1" s="1"/>
  <c r="AP764" i="1"/>
  <c r="AO765" i="1"/>
  <c r="AQ765" i="1" s="1"/>
  <c r="AP765" i="1"/>
  <c r="AO766" i="1"/>
  <c r="AP766" i="1"/>
  <c r="AO767" i="1"/>
  <c r="AQ767" i="1" s="1"/>
  <c r="AP767" i="1"/>
  <c r="AO768" i="1"/>
  <c r="AQ768" i="1" s="1"/>
  <c r="AP768" i="1"/>
  <c r="AO769" i="1"/>
  <c r="AQ769" i="1" s="1"/>
  <c r="AP769" i="1"/>
  <c r="AO770" i="1"/>
  <c r="AP770" i="1"/>
  <c r="AO771" i="1"/>
  <c r="AQ771" i="1" s="1"/>
  <c r="AP771" i="1"/>
  <c r="AO772" i="1"/>
  <c r="AQ772" i="1" s="1"/>
  <c r="AP772" i="1"/>
  <c r="AO773" i="1"/>
  <c r="AQ773" i="1" s="1"/>
  <c r="AP773" i="1"/>
  <c r="AO774" i="1"/>
  <c r="AP774" i="1"/>
  <c r="AO775" i="1"/>
  <c r="AQ775" i="1" s="1"/>
  <c r="AP775" i="1"/>
  <c r="AO776" i="1"/>
  <c r="AQ776" i="1" s="1"/>
  <c r="AP776" i="1"/>
  <c r="AO777" i="1"/>
  <c r="AQ777" i="1" s="1"/>
  <c r="AP777" i="1"/>
  <c r="AO778" i="1"/>
  <c r="AP778" i="1"/>
  <c r="AO779" i="1"/>
  <c r="AQ779" i="1" s="1"/>
  <c r="AP779" i="1"/>
  <c r="AO780" i="1"/>
  <c r="AQ780" i="1" s="1"/>
  <c r="AP780" i="1"/>
  <c r="AO781" i="1"/>
  <c r="AQ781" i="1" s="1"/>
  <c r="AP781" i="1"/>
  <c r="AO782" i="1"/>
  <c r="AP782" i="1"/>
  <c r="AO783" i="1"/>
  <c r="AQ783" i="1" s="1"/>
  <c r="AP783" i="1"/>
  <c r="AO784" i="1"/>
  <c r="AQ784" i="1" s="1"/>
  <c r="AP784" i="1"/>
  <c r="AO785" i="1"/>
  <c r="AQ785" i="1" s="1"/>
  <c r="AP785" i="1"/>
  <c r="AO786" i="1"/>
  <c r="AP786" i="1"/>
  <c r="AO787" i="1"/>
  <c r="AQ787" i="1" s="1"/>
  <c r="AP787" i="1"/>
  <c r="AO788" i="1"/>
  <c r="AQ788" i="1" s="1"/>
  <c r="AP788" i="1"/>
  <c r="AO789" i="1"/>
  <c r="AQ789" i="1" s="1"/>
  <c r="AP789" i="1"/>
  <c r="AO790" i="1"/>
  <c r="AP790" i="1"/>
  <c r="AO791" i="1"/>
  <c r="AQ791" i="1" s="1"/>
  <c r="AP791" i="1"/>
  <c r="AO792" i="1"/>
  <c r="AQ792" i="1" s="1"/>
  <c r="AP792" i="1"/>
  <c r="AO793" i="1"/>
  <c r="AQ793" i="1" s="1"/>
  <c r="AP793" i="1"/>
  <c r="AO794" i="1"/>
  <c r="AP794" i="1"/>
  <c r="AO795" i="1"/>
  <c r="AQ795" i="1" s="1"/>
  <c r="AP795" i="1"/>
  <c r="AO796" i="1"/>
  <c r="AQ796" i="1" s="1"/>
  <c r="AP796" i="1"/>
  <c r="AO797" i="1"/>
  <c r="AQ797" i="1" s="1"/>
  <c r="AP797" i="1"/>
  <c r="AO798" i="1"/>
  <c r="AP798" i="1"/>
  <c r="AO799" i="1"/>
  <c r="AQ799" i="1" s="1"/>
  <c r="AP799" i="1"/>
  <c r="AO800" i="1"/>
  <c r="AQ800" i="1" s="1"/>
  <c r="AP800" i="1"/>
  <c r="AO801" i="1"/>
  <c r="AQ801" i="1" s="1"/>
  <c r="AP801" i="1"/>
  <c r="AO802" i="1"/>
  <c r="AP802" i="1"/>
  <c r="AO803" i="1"/>
  <c r="AQ803" i="1" s="1"/>
  <c r="AP803" i="1"/>
  <c r="AO804" i="1"/>
  <c r="AQ804" i="1" s="1"/>
  <c r="AP804" i="1"/>
  <c r="AO805" i="1"/>
  <c r="AQ805" i="1" s="1"/>
  <c r="AP805" i="1"/>
  <c r="AO806" i="1"/>
  <c r="AP806" i="1"/>
  <c r="AO807" i="1"/>
  <c r="AQ807" i="1" s="1"/>
  <c r="AP807" i="1"/>
  <c r="AO808" i="1"/>
  <c r="AQ808" i="1" s="1"/>
  <c r="AP808" i="1"/>
  <c r="AO809" i="1"/>
  <c r="AQ809" i="1" s="1"/>
  <c r="AP809" i="1"/>
  <c r="AO810" i="1"/>
  <c r="AP810" i="1"/>
  <c r="AO811" i="1"/>
  <c r="AQ811" i="1" s="1"/>
  <c r="AP811" i="1"/>
  <c r="AO812" i="1"/>
  <c r="AQ812" i="1" s="1"/>
  <c r="AP812" i="1"/>
  <c r="AO813" i="1"/>
  <c r="AQ813" i="1" s="1"/>
  <c r="AP813" i="1"/>
  <c r="AO814" i="1"/>
  <c r="AP814" i="1"/>
  <c r="AO815" i="1"/>
  <c r="AQ815" i="1" s="1"/>
  <c r="AP815" i="1"/>
  <c r="AO816" i="1"/>
  <c r="AQ816" i="1" s="1"/>
  <c r="AP816" i="1"/>
  <c r="AO817" i="1"/>
  <c r="AQ817" i="1" s="1"/>
  <c r="AP817" i="1"/>
  <c r="AO818" i="1"/>
  <c r="AP818" i="1"/>
  <c r="AO819" i="1"/>
  <c r="AQ819" i="1" s="1"/>
  <c r="AP819" i="1"/>
  <c r="AO820" i="1"/>
  <c r="AQ820" i="1" s="1"/>
  <c r="AP820" i="1"/>
  <c r="AO821" i="1"/>
  <c r="AQ821" i="1" s="1"/>
  <c r="AP821" i="1"/>
  <c r="AO822" i="1"/>
  <c r="AP822" i="1"/>
  <c r="AO823" i="1"/>
  <c r="AQ823" i="1" s="1"/>
  <c r="AP823" i="1"/>
  <c r="AO824" i="1"/>
  <c r="AQ824" i="1" s="1"/>
  <c r="AP824" i="1"/>
  <c r="AO825" i="1"/>
  <c r="AQ825" i="1" s="1"/>
  <c r="AP825" i="1"/>
  <c r="AO826" i="1"/>
  <c r="AP826" i="1"/>
  <c r="AO827" i="1"/>
  <c r="AQ827" i="1" s="1"/>
  <c r="AP827" i="1"/>
  <c r="AO828" i="1"/>
  <c r="AQ828" i="1" s="1"/>
  <c r="AP828" i="1"/>
  <c r="AO829" i="1"/>
  <c r="AQ829" i="1" s="1"/>
  <c r="AP829" i="1"/>
  <c r="AO830" i="1"/>
  <c r="AP830" i="1"/>
  <c r="AO831" i="1"/>
  <c r="AQ831" i="1" s="1"/>
  <c r="AP831" i="1"/>
  <c r="AO832" i="1"/>
  <c r="AQ832" i="1" s="1"/>
  <c r="AP832" i="1"/>
  <c r="AO833" i="1"/>
  <c r="AQ833" i="1" s="1"/>
  <c r="AP833" i="1"/>
  <c r="AO834" i="1"/>
  <c r="AP834" i="1"/>
  <c r="AO835" i="1"/>
  <c r="AQ835" i="1" s="1"/>
  <c r="AP835" i="1"/>
  <c r="AO836" i="1"/>
  <c r="AQ836" i="1" s="1"/>
  <c r="AP836" i="1"/>
  <c r="AO837" i="1"/>
  <c r="AQ837" i="1" s="1"/>
  <c r="AP837" i="1"/>
  <c r="AO838" i="1"/>
  <c r="AP838" i="1"/>
  <c r="AO839" i="1"/>
  <c r="AQ839" i="1" s="1"/>
  <c r="AP839" i="1"/>
  <c r="AO840" i="1"/>
  <c r="AQ840" i="1" s="1"/>
  <c r="AP840" i="1"/>
  <c r="AO841" i="1"/>
  <c r="AQ841" i="1" s="1"/>
  <c r="AP841" i="1"/>
  <c r="AO842" i="1"/>
  <c r="AP842" i="1"/>
  <c r="AO843" i="1"/>
  <c r="AQ843" i="1" s="1"/>
  <c r="AP843" i="1"/>
  <c r="AO844" i="1"/>
  <c r="AQ844" i="1" s="1"/>
  <c r="AP844" i="1"/>
  <c r="AO845" i="1"/>
  <c r="AQ845" i="1" s="1"/>
  <c r="AP845" i="1"/>
  <c r="AO846" i="1"/>
  <c r="AP846" i="1"/>
  <c r="AO847" i="1"/>
  <c r="AQ847" i="1" s="1"/>
  <c r="AP847" i="1"/>
  <c r="AO848" i="1"/>
  <c r="AQ848" i="1" s="1"/>
  <c r="AP848" i="1"/>
  <c r="AO849" i="1"/>
  <c r="AQ849" i="1" s="1"/>
  <c r="AP849" i="1"/>
  <c r="AO850" i="1"/>
  <c r="AP850" i="1"/>
  <c r="AO851" i="1"/>
  <c r="AQ851" i="1" s="1"/>
  <c r="AP851" i="1"/>
  <c r="AO852" i="1"/>
  <c r="AQ852" i="1" s="1"/>
  <c r="AP852" i="1"/>
  <c r="AO853" i="1"/>
  <c r="AQ853" i="1" s="1"/>
  <c r="AP853" i="1"/>
  <c r="AO854" i="1"/>
  <c r="AP854" i="1"/>
  <c r="AO855" i="1"/>
  <c r="AQ855" i="1" s="1"/>
  <c r="AP855" i="1"/>
  <c r="AO856" i="1"/>
  <c r="AQ856" i="1" s="1"/>
  <c r="AP856" i="1"/>
  <c r="AO857" i="1"/>
  <c r="AQ857" i="1" s="1"/>
  <c r="AP857" i="1"/>
  <c r="AO858" i="1"/>
  <c r="AP858" i="1"/>
  <c r="AO859" i="1"/>
  <c r="AQ859" i="1" s="1"/>
  <c r="AP859" i="1"/>
  <c r="AO860" i="1"/>
  <c r="AQ860" i="1" s="1"/>
  <c r="AP860" i="1"/>
  <c r="AO861" i="1"/>
  <c r="AQ861" i="1" s="1"/>
  <c r="AP861" i="1"/>
  <c r="AO862" i="1"/>
  <c r="AP862" i="1"/>
  <c r="AO863" i="1"/>
  <c r="AQ863" i="1" s="1"/>
  <c r="AP863" i="1"/>
  <c r="AO864" i="1"/>
  <c r="AQ864" i="1" s="1"/>
  <c r="AP864" i="1"/>
  <c r="AO865" i="1"/>
  <c r="AQ865" i="1" s="1"/>
  <c r="AP865" i="1"/>
  <c r="AO866" i="1"/>
  <c r="AP866" i="1"/>
  <c r="AO867" i="1"/>
  <c r="AQ867" i="1" s="1"/>
  <c r="AP867" i="1"/>
  <c r="AO868" i="1"/>
  <c r="AQ868" i="1" s="1"/>
  <c r="AP868" i="1"/>
  <c r="AO869" i="1"/>
  <c r="AQ869" i="1" s="1"/>
  <c r="AP869" i="1"/>
  <c r="AO870" i="1"/>
  <c r="AP870" i="1"/>
  <c r="AO871" i="1"/>
  <c r="AQ871" i="1" s="1"/>
  <c r="AP871" i="1"/>
  <c r="AO872" i="1"/>
  <c r="AQ872" i="1" s="1"/>
  <c r="AP872" i="1"/>
  <c r="AO873" i="1"/>
  <c r="AQ873" i="1" s="1"/>
  <c r="AP873" i="1"/>
  <c r="AO874" i="1"/>
  <c r="AP874" i="1"/>
  <c r="AO875" i="1"/>
  <c r="AQ875" i="1" s="1"/>
  <c r="AP875" i="1"/>
  <c r="AO876" i="1"/>
  <c r="AQ876" i="1" s="1"/>
  <c r="AP876" i="1"/>
  <c r="AO877" i="1"/>
  <c r="AQ877" i="1" s="1"/>
  <c r="AP877" i="1"/>
  <c r="AO878" i="1"/>
  <c r="AP878" i="1"/>
  <c r="AO879" i="1"/>
  <c r="AQ879" i="1" s="1"/>
  <c r="AP879" i="1"/>
  <c r="AO880" i="1"/>
  <c r="AQ880" i="1" s="1"/>
  <c r="AP880" i="1"/>
  <c r="AO881" i="1"/>
  <c r="AQ881" i="1" s="1"/>
  <c r="AP881" i="1"/>
  <c r="AO882" i="1"/>
  <c r="AP882" i="1"/>
  <c r="AO883" i="1"/>
  <c r="AQ883" i="1" s="1"/>
  <c r="AP883" i="1"/>
  <c r="AO884" i="1"/>
  <c r="AQ884" i="1" s="1"/>
  <c r="AP884" i="1"/>
  <c r="AO885" i="1"/>
  <c r="AQ885" i="1" s="1"/>
  <c r="AP885" i="1"/>
  <c r="AO886" i="1"/>
  <c r="AP886" i="1"/>
  <c r="AO887" i="1"/>
  <c r="AQ887" i="1" s="1"/>
  <c r="AP887" i="1"/>
  <c r="AO888" i="1"/>
  <c r="AQ888" i="1" s="1"/>
  <c r="AP888" i="1"/>
  <c r="AO889" i="1"/>
  <c r="AQ889" i="1" s="1"/>
  <c r="AP889" i="1"/>
  <c r="AO890" i="1"/>
  <c r="AP890" i="1"/>
  <c r="AO891" i="1"/>
  <c r="AQ891" i="1" s="1"/>
  <c r="AP891" i="1"/>
  <c r="AO892" i="1"/>
  <c r="AQ892" i="1" s="1"/>
  <c r="AP892" i="1"/>
  <c r="AO893" i="1"/>
  <c r="AQ893" i="1" s="1"/>
  <c r="AP893" i="1"/>
  <c r="AO894" i="1"/>
  <c r="AP894" i="1"/>
  <c r="AO895" i="1"/>
  <c r="AQ895" i="1" s="1"/>
  <c r="AP895" i="1"/>
  <c r="AO896" i="1"/>
  <c r="AQ896" i="1" s="1"/>
  <c r="AP896" i="1"/>
  <c r="AO897" i="1"/>
  <c r="AQ897" i="1" s="1"/>
  <c r="AP897" i="1"/>
  <c r="AO898" i="1"/>
  <c r="AP898" i="1"/>
  <c r="AO899" i="1"/>
  <c r="AQ899" i="1" s="1"/>
  <c r="AP899" i="1"/>
  <c r="AO900" i="1"/>
  <c r="AQ900" i="1" s="1"/>
  <c r="AP900" i="1"/>
  <c r="AO901" i="1"/>
  <c r="AQ901" i="1" s="1"/>
  <c r="AP901" i="1"/>
  <c r="AO902" i="1"/>
  <c r="AP902" i="1"/>
  <c r="AO903" i="1"/>
  <c r="AQ903" i="1" s="1"/>
  <c r="AP903" i="1"/>
  <c r="AO904" i="1"/>
  <c r="AQ904" i="1" s="1"/>
  <c r="AP904" i="1"/>
  <c r="AO905" i="1"/>
  <c r="AQ905" i="1" s="1"/>
  <c r="AP905" i="1"/>
  <c r="AO906" i="1"/>
  <c r="AP906" i="1"/>
  <c r="AO907" i="1"/>
  <c r="AQ907" i="1" s="1"/>
  <c r="AP907" i="1"/>
  <c r="AO908" i="1"/>
  <c r="AQ908" i="1" s="1"/>
  <c r="AP908" i="1"/>
  <c r="AO909" i="1"/>
  <c r="AQ909" i="1" s="1"/>
  <c r="AP909" i="1"/>
  <c r="AO910" i="1"/>
  <c r="AP910" i="1"/>
  <c r="AO911" i="1"/>
  <c r="AQ911" i="1" s="1"/>
  <c r="AP911" i="1"/>
  <c r="AO912" i="1"/>
  <c r="AQ912" i="1" s="1"/>
  <c r="AP912" i="1"/>
  <c r="AO913" i="1"/>
  <c r="AQ913" i="1" s="1"/>
  <c r="AP913" i="1"/>
  <c r="AO914" i="1"/>
  <c r="AP914" i="1"/>
  <c r="AO915" i="1"/>
  <c r="AQ915" i="1" s="1"/>
  <c r="AP915" i="1"/>
  <c r="AO916" i="1"/>
  <c r="AQ916" i="1" s="1"/>
  <c r="AP916" i="1"/>
  <c r="AO917" i="1"/>
  <c r="AQ917" i="1" s="1"/>
  <c r="AP917" i="1"/>
  <c r="AO918" i="1"/>
  <c r="AP918" i="1"/>
  <c r="AO919" i="1"/>
  <c r="AQ919" i="1" s="1"/>
  <c r="AP919" i="1"/>
  <c r="AO920" i="1"/>
  <c r="AQ920" i="1" s="1"/>
  <c r="AP920" i="1"/>
  <c r="AO921" i="1"/>
  <c r="AQ921" i="1" s="1"/>
  <c r="AP921" i="1"/>
  <c r="AO922" i="1"/>
  <c r="AP922" i="1"/>
  <c r="AO923" i="1"/>
  <c r="AQ923" i="1" s="1"/>
  <c r="AP923" i="1"/>
  <c r="AO924" i="1"/>
  <c r="AQ924" i="1" s="1"/>
  <c r="AP924" i="1"/>
  <c r="AO925" i="1"/>
  <c r="AQ925" i="1" s="1"/>
  <c r="AP925" i="1"/>
  <c r="AO926" i="1"/>
  <c r="AP926" i="1"/>
  <c r="AO927" i="1"/>
  <c r="AQ927" i="1" s="1"/>
  <c r="AP927" i="1"/>
  <c r="AO928" i="1"/>
  <c r="AQ928" i="1" s="1"/>
  <c r="AP928" i="1"/>
  <c r="AO929" i="1"/>
  <c r="AQ929" i="1" s="1"/>
  <c r="AP929" i="1"/>
  <c r="AO930" i="1"/>
  <c r="AP930" i="1"/>
  <c r="AO931" i="1"/>
  <c r="AQ931" i="1" s="1"/>
  <c r="AP931" i="1"/>
  <c r="AO932" i="1"/>
  <c r="AQ932" i="1" s="1"/>
  <c r="AP932" i="1"/>
  <c r="AO933" i="1"/>
  <c r="AQ933" i="1" s="1"/>
  <c r="AP933" i="1"/>
  <c r="AO934" i="1"/>
  <c r="AP934" i="1"/>
  <c r="AO935" i="1"/>
  <c r="AQ935" i="1" s="1"/>
  <c r="AP935" i="1"/>
  <c r="AO936" i="1"/>
  <c r="AQ936" i="1" s="1"/>
  <c r="AP936" i="1"/>
  <c r="AO937" i="1"/>
  <c r="AQ937" i="1" s="1"/>
  <c r="AP937" i="1"/>
  <c r="AO938" i="1"/>
  <c r="AP938" i="1"/>
  <c r="AO939" i="1"/>
  <c r="AQ939" i="1" s="1"/>
  <c r="AP939" i="1"/>
  <c r="AO940" i="1"/>
  <c r="AQ940" i="1" s="1"/>
  <c r="AP940" i="1"/>
  <c r="AO941" i="1"/>
  <c r="AQ941" i="1" s="1"/>
  <c r="AP941" i="1"/>
  <c r="AO942" i="1"/>
  <c r="AP942" i="1"/>
  <c r="AO943" i="1"/>
  <c r="AQ943" i="1" s="1"/>
  <c r="AP943" i="1"/>
  <c r="AO944" i="1"/>
  <c r="AQ944" i="1" s="1"/>
  <c r="AP944" i="1"/>
  <c r="AO945" i="1"/>
  <c r="AQ945" i="1" s="1"/>
  <c r="AP945" i="1"/>
  <c r="AO946" i="1"/>
  <c r="AP946" i="1"/>
  <c r="AO947" i="1"/>
  <c r="AQ947" i="1" s="1"/>
  <c r="AP947" i="1"/>
  <c r="AO948" i="1"/>
  <c r="AQ948" i="1" s="1"/>
  <c r="AP948" i="1"/>
  <c r="AO949" i="1"/>
  <c r="AQ949" i="1" s="1"/>
  <c r="AP949" i="1"/>
  <c r="AO950" i="1"/>
  <c r="AP950" i="1"/>
  <c r="AO951" i="1"/>
  <c r="AQ951" i="1" s="1"/>
  <c r="AP951" i="1"/>
  <c r="AO952" i="1"/>
  <c r="AQ952" i="1" s="1"/>
  <c r="AP952" i="1"/>
  <c r="AO953" i="1"/>
  <c r="AQ953" i="1" s="1"/>
  <c r="AP953" i="1"/>
  <c r="AO954" i="1"/>
  <c r="AP954" i="1"/>
  <c r="AO955" i="1"/>
  <c r="AQ955" i="1" s="1"/>
  <c r="AP955" i="1"/>
  <c r="AO956" i="1"/>
  <c r="AQ956" i="1" s="1"/>
  <c r="AP956" i="1"/>
  <c r="AO957" i="1"/>
  <c r="AQ957" i="1" s="1"/>
  <c r="AP957" i="1"/>
  <c r="AO958" i="1"/>
  <c r="AP958" i="1"/>
  <c r="AO959" i="1"/>
  <c r="AQ959" i="1" s="1"/>
  <c r="AP959" i="1"/>
  <c r="AO960" i="1"/>
  <c r="AQ960" i="1" s="1"/>
  <c r="AP960" i="1"/>
  <c r="AO961" i="1"/>
  <c r="AQ961" i="1" s="1"/>
  <c r="AP961" i="1"/>
  <c r="AO962" i="1"/>
  <c r="AP962" i="1"/>
  <c r="AO963" i="1"/>
  <c r="AQ963" i="1" s="1"/>
  <c r="AP963" i="1"/>
  <c r="AO964" i="1"/>
  <c r="AQ964" i="1" s="1"/>
  <c r="AP964" i="1"/>
  <c r="AO965" i="1"/>
  <c r="AQ965" i="1" s="1"/>
  <c r="AP965" i="1"/>
  <c r="AO966" i="1"/>
  <c r="AP966" i="1"/>
  <c r="AO967" i="1"/>
  <c r="AQ967" i="1" s="1"/>
  <c r="AP967" i="1"/>
  <c r="AO968" i="1"/>
  <c r="AQ968" i="1" s="1"/>
  <c r="AP968" i="1"/>
  <c r="AO969" i="1"/>
  <c r="AQ969" i="1" s="1"/>
  <c r="AP969" i="1"/>
  <c r="AO970" i="1"/>
  <c r="AP970" i="1"/>
  <c r="AO971" i="1"/>
  <c r="AQ971" i="1" s="1"/>
  <c r="AP971" i="1"/>
  <c r="AO972" i="1"/>
  <c r="AQ972" i="1" s="1"/>
  <c r="AP972" i="1"/>
  <c r="AO973" i="1"/>
  <c r="AQ973" i="1" s="1"/>
  <c r="AP973" i="1"/>
  <c r="AO974" i="1"/>
  <c r="AP974" i="1"/>
  <c r="AO975" i="1"/>
  <c r="AQ975" i="1" s="1"/>
  <c r="AP975" i="1"/>
  <c r="AO976" i="1"/>
  <c r="AQ976" i="1" s="1"/>
  <c r="AP976" i="1"/>
  <c r="AO977" i="1"/>
  <c r="AQ977" i="1" s="1"/>
  <c r="AP977" i="1"/>
  <c r="AO978" i="1"/>
  <c r="AP978" i="1"/>
  <c r="AO979" i="1"/>
  <c r="AQ979" i="1" s="1"/>
  <c r="AP979" i="1"/>
  <c r="AO980" i="1"/>
  <c r="AQ980" i="1" s="1"/>
  <c r="AP980" i="1"/>
  <c r="AO981" i="1"/>
  <c r="AQ981" i="1" s="1"/>
  <c r="AP981" i="1"/>
  <c r="AO982" i="1"/>
  <c r="AP982" i="1"/>
  <c r="AO983" i="1"/>
  <c r="AQ983" i="1" s="1"/>
  <c r="AP983" i="1"/>
  <c r="C58" i="36"/>
  <c r="M68" i="36"/>
  <c r="L68" i="36"/>
  <c r="K68" i="36"/>
  <c r="E68" i="36"/>
  <c r="C68" i="36"/>
  <c r="R143" i="36"/>
  <c r="M143" i="36"/>
  <c r="L143" i="36"/>
  <c r="K143" i="36"/>
  <c r="C143" i="36"/>
  <c r="R142" i="36"/>
  <c r="M142" i="36"/>
  <c r="L142" i="36"/>
  <c r="K142" i="36"/>
  <c r="C142" i="36"/>
  <c r="R141" i="36"/>
  <c r="M141" i="36"/>
  <c r="L141" i="36"/>
  <c r="K141" i="36"/>
  <c r="C141" i="36"/>
  <c r="R140" i="36"/>
  <c r="M140" i="36"/>
  <c r="L140" i="36"/>
  <c r="K140" i="36"/>
  <c r="C140" i="36"/>
  <c r="R139" i="36"/>
  <c r="M139" i="36"/>
  <c r="L139" i="36"/>
  <c r="K139" i="36"/>
  <c r="C139" i="36"/>
  <c r="R138" i="36"/>
  <c r="C138" i="36"/>
  <c r="AQ982" i="1" l="1"/>
  <c r="AQ978" i="1"/>
  <c r="AQ974" i="1"/>
  <c r="AQ970" i="1"/>
  <c r="AQ966" i="1"/>
  <c r="AQ962" i="1"/>
  <c r="AQ958" i="1"/>
  <c r="AQ954" i="1"/>
  <c r="AQ950" i="1"/>
  <c r="AQ946" i="1"/>
  <c r="AQ942" i="1"/>
  <c r="AQ938" i="1"/>
  <c r="AQ934" i="1"/>
  <c r="AQ930" i="1"/>
  <c r="AQ926" i="1"/>
  <c r="AQ922" i="1"/>
  <c r="AQ918" i="1"/>
  <c r="AQ914" i="1"/>
  <c r="AQ910" i="1"/>
  <c r="AQ906" i="1"/>
  <c r="AQ902" i="1"/>
  <c r="AQ898" i="1"/>
  <c r="AQ894" i="1"/>
  <c r="AQ890" i="1"/>
  <c r="AQ886" i="1"/>
  <c r="AQ882" i="1"/>
  <c r="AQ878" i="1"/>
  <c r="AQ874" i="1"/>
  <c r="AQ870" i="1"/>
  <c r="AQ866" i="1"/>
  <c r="AQ862" i="1"/>
  <c r="AQ858" i="1"/>
  <c r="AQ854" i="1"/>
  <c r="AQ850" i="1"/>
  <c r="AQ846" i="1"/>
  <c r="AQ842" i="1"/>
  <c r="AQ838" i="1"/>
  <c r="AQ834" i="1"/>
  <c r="AQ830" i="1"/>
  <c r="AQ826" i="1"/>
  <c r="AQ822" i="1"/>
  <c r="AQ818" i="1"/>
  <c r="AQ814" i="1"/>
  <c r="AQ810" i="1"/>
  <c r="AQ806" i="1"/>
  <c r="AQ802" i="1"/>
  <c r="AQ798" i="1"/>
  <c r="AQ794" i="1"/>
  <c r="AQ790" i="1"/>
  <c r="AQ786" i="1"/>
  <c r="AQ782" i="1"/>
  <c r="AQ778" i="1"/>
  <c r="AQ774" i="1"/>
  <c r="AQ770" i="1"/>
  <c r="AQ766" i="1"/>
  <c r="AQ762" i="1"/>
  <c r="AQ758" i="1"/>
  <c r="AQ754" i="1"/>
  <c r="AQ750" i="1"/>
  <c r="AQ746" i="1"/>
  <c r="AQ742" i="1"/>
  <c r="AQ738" i="1"/>
  <c r="AQ734" i="1"/>
  <c r="AQ730" i="1"/>
  <c r="AQ726" i="1"/>
  <c r="AQ722" i="1"/>
  <c r="AQ718" i="1"/>
  <c r="AQ714" i="1"/>
  <c r="AQ710" i="1"/>
  <c r="AQ706" i="1"/>
  <c r="AQ702" i="1"/>
  <c r="AQ698" i="1"/>
  <c r="AQ694" i="1"/>
  <c r="AQ690" i="1"/>
  <c r="AQ686" i="1"/>
  <c r="AQ682" i="1"/>
  <c r="AQ678" i="1"/>
  <c r="AQ674" i="1"/>
  <c r="AQ670" i="1"/>
  <c r="AQ666" i="1"/>
  <c r="AQ662" i="1"/>
  <c r="AQ658" i="1"/>
  <c r="AQ654" i="1"/>
  <c r="AQ650" i="1"/>
  <c r="AQ646" i="1"/>
  <c r="AQ642" i="1"/>
  <c r="AQ638" i="1"/>
  <c r="AQ634" i="1"/>
  <c r="AQ630" i="1"/>
  <c r="AQ626" i="1"/>
  <c r="AQ622" i="1"/>
  <c r="AQ618" i="1"/>
  <c r="AQ614" i="1"/>
  <c r="AQ610" i="1"/>
  <c r="AQ606" i="1"/>
  <c r="AQ602" i="1"/>
  <c r="AQ598" i="1"/>
  <c r="AQ594" i="1"/>
  <c r="AQ590" i="1"/>
  <c r="AQ586" i="1"/>
  <c r="AQ582" i="1"/>
  <c r="AQ578" i="1"/>
  <c r="AQ574" i="1"/>
  <c r="AQ570" i="1"/>
  <c r="AQ566" i="1"/>
  <c r="AQ562" i="1"/>
  <c r="AQ558" i="1"/>
  <c r="AQ554" i="1"/>
  <c r="AQ550" i="1"/>
  <c r="AQ546" i="1"/>
  <c r="AQ542" i="1"/>
  <c r="AQ538" i="1"/>
  <c r="AQ534" i="1"/>
  <c r="AQ530" i="1"/>
  <c r="AQ526" i="1"/>
  <c r="AQ522" i="1"/>
  <c r="AQ518" i="1"/>
  <c r="AQ514" i="1"/>
  <c r="AQ510" i="1"/>
  <c r="AQ506" i="1"/>
  <c r="AQ502" i="1"/>
  <c r="AQ498" i="1"/>
  <c r="AQ494" i="1"/>
  <c r="AQ490" i="1"/>
  <c r="AQ486" i="1"/>
  <c r="AQ482" i="1"/>
  <c r="AQ478" i="1"/>
  <c r="AQ474" i="1"/>
  <c r="AQ470" i="1"/>
  <c r="AQ466" i="1"/>
  <c r="AQ462" i="1"/>
  <c r="AQ458" i="1"/>
  <c r="AQ454" i="1"/>
  <c r="AQ450" i="1"/>
  <c r="AQ446" i="1"/>
  <c r="AQ442" i="1"/>
  <c r="AQ438" i="1"/>
  <c r="AQ434" i="1"/>
  <c r="AQ430" i="1"/>
  <c r="AQ426" i="1"/>
  <c r="AQ422" i="1"/>
  <c r="AQ418" i="1"/>
  <c r="AQ414" i="1"/>
  <c r="AQ410" i="1"/>
  <c r="AQ406" i="1"/>
  <c r="AQ402" i="1"/>
  <c r="AQ398" i="1"/>
  <c r="AQ394" i="1"/>
  <c r="AQ390" i="1"/>
  <c r="AQ386" i="1"/>
  <c r="AQ382" i="1"/>
  <c r="AQ378" i="1"/>
  <c r="AQ374" i="1"/>
  <c r="AQ370" i="1"/>
  <c r="AQ366" i="1"/>
  <c r="AQ362" i="1"/>
  <c r="AQ358" i="1"/>
  <c r="AQ354" i="1"/>
  <c r="AQ350" i="1"/>
  <c r="AQ346" i="1"/>
  <c r="AQ342" i="1"/>
  <c r="AQ338" i="1"/>
  <c r="AQ334" i="1"/>
  <c r="AQ330" i="1"/>
  <c r="AQ326" i="1"/>
  <c r="AQ322" i="1"/>
  <c r="AQ318" i="1"/>
  <c r="AQ314" i="1"/>
  <c r="AQ310" i="1"/>
  <c r="AQ306" i="1"/>
  <c r="AQ302" i="1"/>
  <c r="AQ298" i="1"/>
  <c r="AQ294" i="1"/>
  <c r="AQ290" i="1"/>
  <c r="AQ286" i="1"/>
  <c r="AQ282" i="1"/>
  <c r="AQ278" i="1"/>
  <c r="AQ274" i="1"/>
  <c r="AQ270" i="1"/>
  <c r="AQ266" i="1"/>
  <c r="AQ262" i="1"/>
  <c r="AQ258" i="1"/>
  <c r="AQ254" i="1"/>
  <c r="AQ250" i="1"/>
  <c r="AQ246" i="1"/>
  <c r="AQ242" i="1"/>
  <c r="AQ238" i="1"/>
  <c r="AQ234" i="1"/>
  <c r="AQ230" i="1"/>
  <c r="AQ226" i="1"/>
  <c r="AQ222" i="1"/>
  <c r="AQ218" i="1"/>
  <c r="AQ214" i="1"/>
  <c r="AQ210" i="1"/>
  <c r="AQ206" i="1"/>
  <c r="AQ202" i="1"/>
  <c r="AQ198" i="1"/>
  <c r="AQ194" i="1"/>
  <c r="AQ190" i="1"/>
  <c r="AQ186" i="1"/>
  <c r="AQ182" i="1"/>
  <c r="AQ178" i="1"/>
  <c r="AQ174" i="1"/>
  <c r="AQ170" i="1"/>
  <c r="AQ166" i="1"/>
  <c r="AQ162" i="1"/>
  <c r="AQ158" i="1"/>
  <c r="AQ154" i="1"/>
  <c r="AQ150" i="1"/>
  <c r="AQ146" i="1"/>
  <c r="AQ142" i="1"/>
  <c r="AQ138" i="1"/>
  <c r="AQ134" i="1"/>
  <c r="AQ130" i="1"/>
  <c r="AQ126" i="1"/>
  <c r="AQ122" i="1"/>
  <c r="AQ118" i="1"/>
  <c r="AQ114" i="1"/>
  <c r="AQ110" i="1"/>
  <c r="AQ106" i="1"/>
  <c r="AQ102" i="1"/>
  <c r="AQ98" i="1"/>
  <c r="AQ94" i="1"/>
  <c r="AQ90" i="1"/>
  <c r="AQ101" i="1"/>
  <c r="AQ97" i="1"/>
  <c r="AQ93" i="1"/>
  <c r="M69" i="36"/>
  <c r="M70" i="36"/>
  <c r="L69" i="36"/>
  <c r="L70" i="36"/>
  <c r="K69" i="36"/>
  <c r="K70" i="36"/>
  <c r="E55" i="36"/>
  <c r="C55" i="36"/>
  <c r="E54" i="36"/>
  <c r="C54" i="36"/>
  <c r="E53" i="36"/>
  <c r="C53" i="36"/>
  <c r="E52" i="36"/>
  <c r="C52" i="36"/>
  <c r="E69" i="36"/>
  <c r="C69" i="36"/>
  <c r="C57" i="36"/>
  <c r="E56" i="36"/>
  <c r="C56" i="36"/>
  <c r="Y59" i="1"/>
  <c r="X59" i="1"/>
  <c r="W59" i="1"/>
  <c r="U59" i="1"/>
  <c r="T59" i="1"/>
  <c r="S59" i="1"/>
  <c r="R59" i="1"/>
  <c r="Q59" i="1"/>
  <c r="P59" i="1"/>
  <c r="Y58" i="1"/>
  <c r="X58" i="1"/>
  <c r="W58" i="1"/>
  <c r="U58" i="1"/>
  <c r="T58" i="1"/>
  <c r="S58" i="1"/>
  <c r="R58" i="1"/>
  <c r="Q58" i="1"/>
  <c r="P58" i="1"/>
  <c r="Y52" i="1"/>
  <c r="X52" i="1"/>
  <c r="W52" i="1"/>
  <c r="U52" i="1"/>
  <c r="T52" i="1"/>
  <c r="S52" i="1"/>
  <c r="R52" i="1"/>
  <c r="Q52" i="1"/>
  <c r="P52" i="1"/>
  <c r="Y57" i="1"/>
  <c r="X57" i="1"/>
  <c r="W57" i="1"/>
  <c r="U57" i="1"/>
  <c r="T57" i="1"/>
  <c r="S57" i="1"/>
  <c r="R57" i="1"/>
  <c r="Q57" i="1"/>
  <c r="P57" i="1"/>
  <c r="Y44" i="1"/>
  <c r="X44" i="1"/>
  <c r="W44" i="1"/>
  <c r="U44" i="1"/>
  <c r="T44" i="1"/>
  <c r="S44" i="1"/>
  <c r="R44" i="1"/>
  <c r="Q44" i="1"/>
  <c r="P44" i="1"/>
  <c r="Y43" i="1"/>
  <c r="X43" i="1"/>
  <c r="W43" i="1"/>
  <c r="U43" i="1"/>
  <c r="T43" i="1"/>
  <c r="S43" i="1"/>
  <c r="R43" i="1"/>
  <c r="I502" i="6" s="1"/>
  <c r="Q43" i="1"/>
  <c r="J502" i="6" s="1"/>
  <c r="P43" i="1"/>
  <c r="K502" i="6" s="1"/>
  <c r="Y42" i="1"/>
  <c r="X42" i="1"/>
  <c r="W42" i="1"/>
  <c r="U42" i="1"/>
  <c r="T42" i="1"/>
  <c r="S42" i="1"/>
  <c r="R42" i="1"/>
  <c r="Q42" i="1"/>
  <c r="P42" i="1"/>
  <c r="Y41" i="1"/>
  <c r="X41" i="1"/>
  <c r="W41" i="1"/>
  <c r="U41" i="1"/>
  <c r="T41" i="1"/>
  <c r="S41" i="1"/>
  <c r="R41" i="1"/>
  <c r="Q41" i="1"/>
  <c r="P41" i="1"/>
  <c r="Y40" i="1"/>
  <c r="X40" i="1"/>
  <c r="W40" i="1"/>
  <c r="U40" i="1"/>
  <c r="T40" i="1"/>
  <c r="S40" i="1"/>
  <c r="R40" i="1"/>
  <c r="Q40" i="1"/>
  <c r="P40" i="1"/>
  <c r="Y39" i="1"/>
  <c r="X39" i="1"/>
  <c r="W39" i="1"/>
  <c r="U39" i="1"/>
  <c r="T39" i="1"/>
  <c r="S39" i="1"/>
  <c r="R39" i="1"/>
  <c r="Q39" i="1"/>
  <c r="P39" i="1"/>
  <c r="AO58" i="1" l="1"/>
  <c r="AQ58" i="1" s="1"/>
  <c r="AO41" i="1"/>
  <c r="AQ41" i="1" s="1"/>
  <c r="AO57" i="1"/>
  <c r="AQ57" i="1" s="1"/>
  <c r="AO39" i="1"/>
  <c r="AQ39" i="1" s="1"/>
  <c r="AO59" i="1"/>
  <c r="AQ59" i="1" s="1"/>
  <c r="AO42" i="1"/>
  <c r="AQ42" i="1" s="1"/>
  <c r="AO44" i="1"/>
  <c r="AQ44" i="1" s="1"/>
  <c r="AO52" i="1"/>
  <c r="AQ52" i="1" s="1"/>
  <c r="AO40" i="1"/>
  <c r="AQ40" i="1" s="1"/>
  <c r="AO43" i="1"/>
  <c r="AQ43" i="1" s="1"/>
  <c r="P502" i="6"/>
  <c r="V43" i="1"/>
  <c r="V39" i="1"/>
  <c r="V52" i="1"/>
  <c r="V58" i="1"/>
  <c r="V57" i="1"/>
  <c r="V40" i="1"/>
  <c r="V59" i="1"/>
  <c r="V41" i="1"/>
  <c r="V42" i="1"/>
  <c r="V44" i="1"/>
  <c r="C51" i="36" l="1"/>
  <c r="C98" i="36" l="1"/>
  <c r="C97" i="36"/>
  <c r="C100" i="36"/>
  <c r="C99" i="36"/>
  <c r="C103" i="36"/>
  <c r="C102" i="36"/>
  <c r="C101" i="36"/>
  <c r="C83" i="36" l="1"/>
  <c r="C84" i="36"/>
  <c r="C85" i="36"/>
  <c r="C8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77" i="36"/>
  <c r="C78" i="36"/>
  <c r="C79" i="36"/>
  <c r="C80" i="36"/>
  <c r="C81" i="36"/>
  <c r="C8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30" i="1"/>
  <c r="X30" i="1"/>
  <c r="W30" i="1"/>
  <c r="U30" i="1"/>
  <c r="T30" i="1"/>
  <c r="S30" i="1"/>
  <c r="R30" i="1"/>
  <c r="Q30" i="1"/>
  <c r="P30" i="1"/>
  <c r="Y29" i="1"/>
  <c r="X29" i="1"/>
  <c r="W29" i="1"/>
  <c r="U29" i="1"/>
  <c r="T29" i="1"/>
  <c r="S29" i="1"/>
  <c r="R29" i="1"/>
  <c r="Q29" i="1"/>
  <c r="P29" i="1"/>
  <c r="Y26" i="1"/>
  <c r="X26" i="1"/>
  <c r="W26" i="1"/>
  <c r="U26" i="1"/>
  <c r="T26" i="1"/>
  <c r="S26" i="1"/>
  <c r="R26" i="1"/>
  <c r="Q26" i="1"/>
  <c r="P26" i="1"/>
  <c r="Y25" i="1"/>
  <c r="X25" i="1"/>
  <c r="W25" i="1"/>
  <c r="U25" i="1"/>
  <c r="T25" i="1"/>
  <c r="S25" i="1"/>
  <c r="R25" i="1"/>
  <c r="Q25" i="1"/>
  <c r="P25" i="1"/>
  <c r="Y35" i="1"/>
  <c r="X35" i="1"/>
  <c r="W35" i="1"/>
  <c r="U35" i="1"/>
  <c r="T35" i="1"/>
  <c r="S35" i="1"/>
  <c r="R35" i="1"/>
  <c r="Q35" i="1"/>
  <c r="P35" i="1"/>
  <c r="Y34" i="1"/>
  <c r="X34" i="1"/>
  <c r="W34" i="1"/>
  <c r="U34" i="1"/>
  <c r="T34" i="1"/>
  <c r="S34" i="1"/>
  <c r="R34" i="1"/>
  <c r="Q34" i="1"/>
  <c r="P34" i="1"/>
  <c r="Y33" i="1"/>
  <c r="X33" i="1"/>
  <c r="W33" i="1"/>
  <c r="U33" i="1"/>
  <c r="T33" i="1"/>
  <c r="S33" i="1"/>
  <c r="R33" i="1"/>
  <c r="Q33" i="1"/>
  <c r="P33" i="1"/>
  <c r="Y32" i="1"/>
  <c r="X32" i="1"/>
  <c r="W32" i="1"/>
  <c r="U32" i="1"/>
  <c r="T32" i="1"/>
  <c r="S32" i="1"/>
  <c r="R32" i="1"/>
  <c r="Q32" i="1"/>
  <c r="P32" i="1"/>
  <c r="Y31" i="1"/>
  <c r="X31" i="1"/>
  <c r="W31" i="1"/>
  <c r="U31" i="1"/>
  <c r="T31" i="1"/>
  <c r="S31" i="1"/>
  <c r="R31" i="1"/>
  <c r="Q31" i="1"/>
  <c r="P31" i="1"/>
  <c r="Y38" i="1"/>
  <c r="X38" i="1"/>
  <c r="W38" i="1"/>
  <c r="U38" i="1"/>
  <c r="T38" i="1"/>
  <c r="S38" i="1"/>
  <c r="R38" i="1"/>
  <c r="Q38" i="1"/>
  <c r="P38" i="1"/>
  <c r="Y37" i="1"/>
  <c r="X37" i="1"/>
  <c r="W37" i="1"/>
  <c r="U37" i="1"/>
  <c r="T37" i="1"/>
  <c r="S37" i="1"/>
  <c r="R37" i="1"/>
  <c r="Q37" i="1"/>
  <c r="P37" i="1"/>
  <c r="Y36" i="1"/>
  <c r="X36" i="1"/>
  <c r="W36" i="1"/>
  <c r="U36" i="1"/>
  <c r="T36" i="1"/>
  <c r="S36" i="1"/>
  <c r="R36" i="1"/>
  <c r="Q36" i="1"/>
  <c r="P36" i="1"/>
  <c r="E45" i="36"/>
  <c r="AO38" i="1" l="1"/>
  <c r="AQ38" i="1" s="1"/>
  <c r="AO30" i="1"/>
  <c r="AQ30" i="1" s="1"/>
  <c r="AO37" i="1"/>
  <c r="AQ37" i="1" s="1"/>
  <c r="AO26" i="1"/>
  <c r="AQ26" i="1" s="1"/>
  <c r="AO29" i="1"/>
  <c r="AQ29" i="1" s="1"/>
  <c r="AO34" i="1"/>
  <c r="AQ34" i="1" s="1"/>
  <c r="AO31" i="1"/>
  <c r="AQ31" i="1" s="1"/>
  <c r="AO32" i="1"/>
  <c r="AQ32" i="1" s="1"/>
  <c r="AO35" i="1"/>
  <c r="AQ35" i="1" s="1"/>
  <c r="AO33" i="1"/>
  <c r="AQ33" i="1" s="1"/>
  <c r="AO36" i="1"/>
  <c r="AQ36" i="1" s="1"/>
  <c r="AO25" i="1"/>
  <c r="AQ25" i="1" s="1"/>
  <c r="V29" i="1"/>
  <c r="V30" i="1"/>
  <c r="V35" i="1"/>
  <c r="V31" i="1"/>
  <c r="V25" i="1"/>
  <c r="V26" i="1"/>
  <c r="V33" i="1"/>
  <c r="V38" i="1"/>
  <c r="V36" i="1"/>
  <c r="V32" i="1"/>
  <c r="V34" i="1"/>
  <c r="V37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M71" i="36"/>
  <c r="L71" i="36"/>
  <c r="K71" i="36"/>
  <c r="O417" i="6" l="1"/>
  <c r="E84" i="6"/>
  <c r="D84" i="6"/>
  <c r="B84" i="6"/>
  <c r="E83" i="6"/>
  <c r="D83" i="6"/>
  <c r="B83" i="6"/>
  <c r="E82" i="6"/>
  <c r="D82" i="6"/>
  <c r="B82" i="6"/>
  <c r="E81" i="6"/>
  <c r="D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28" i="1"/>
  <c r="X28" i="1"/>
  <c r="W28" i="1"/>
  <c r="U28" i="1"/>
  <c r="T28" i="1"/>
  <c r="S28" i="1"/>
  <c r="R28" i="1"/>
  <c r="Q28" i="1"/>
  <c r="P28" i="1"/>
  <c r="Y27" i="1"/>
  <c r="X27" i="1"/>
  <c r="W27" i="1"/>
  <c r="U27" i="1"/>
  <c r="T27" i="1"/>
  <c r="S27" i="1"/>
  <c r="R27" i="1"/>
  <c r="Q27" i="1"/>
  <c r="P27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28" i="1" l="1"/>
  <c r="AQ28" i="1" s="1"/>
  <c r="AO27" i="1"/>
  <c r="AQ27" i="1" s="1"/>
  <c r="V27" i="1"/>
  <c r="V28" i="1"/>
  <c r="Y24" i="1"/>
  <c r="X24" i="1"/>
  <c r="W24" i="1"/>
  <c r="U24" i="1"/>
  <c r="T24" i="1"/>
  <c r="S24" i="1"/>
  <c r="R24" i="1"/>
  <c r="Q24" i="1"/>
  <c r="P24" i="1"/>
  <c r="U445" i="6"/>
  <c r="B445" i="6"/>
  <c r="U444" i="6"/>
  <c r="B444" i="6"/>
  <c r="U443" i="6"/>
  <c r="B443" i="6"/>
  <c r="U442" i="6"/>
  <c r="B442" i="6"/>
  <c r="AO24" i="1" l="1"/>
  <c r="AQ24" i="1" s="1"/>
  <c r="V24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88" i="1"/>
  <c r="Q88" i="1"/>
  <c r="R88" i="1"/>
  <c r="S88" i="1"/>
  <c r="T88" i="1"/>
  <c r="U88" i="1"/>
  <c r="X88" i="1"/>
  <c r="Y88" i="1"/>
  <c r="P89" i="1"/>
  <c r="Q89" i="1"/>
  <c r="R89" i="1"/>
  <c r="S89" i="1"/>
  <c r="T89" i="1"/>
  <c r="U89" i="1"/>
  <c r="X89" i="1"/>
  <c r="Y89" i="1"/>
  <c r="Y13" i="1"/>
  <c r="Y14" i="1"/>
  <c r="Y15" i="1"/>
  <c r="Y16" i="1"/>
  <c r="Y23" i="1"/>
  <c r="Y77" i="1"/>
  <c r="X20" i="1"/>
  <c r="X13" i="1"/>
  <c r="X14" i="1"/>
  <c r="X15" i="1"/>
  <c r="X16" i="1"/>
  <c r="X23" i="1"/>
  <c r="W20" i="1"/>
  <c r="W13" i="1"/>
  <c r="W14" i="1"/>
  <c r="W15" i="1"/>
  <c r="W16" i="1"/>
  <c r="W23" i="1"/>
  <c r="W77" i="1"/>
  <c r="U13" i="1"/>
  <c r="U14" i="1"/>
  <c r="U15" i="1"/>
  <c r="U16" i="1"/>
  <c r="U23" i="1"/>
  <c r="T20" i="1"/>
  <c r="T13" i="1"/>
  <c r="T14" i="1"/>
  <c r="T15" i="1"/>
  <c r="T16" i="1"/>
  <c r="T23" i="1"/>
  <c r="S13" i="1"/>
  <c r="S14" i="1"/>
  <c r="S15" i="1"/>
  <c r="S16" i="1"/>
  <c r="S23" i="1"/>
  <c r="R13" i="1"/>
  <c r="I507" i="6" s="1"/>
  <c r="R14" i="1"/>
  <c r="R15" i="1"/>
  <c r="R16" i="1"/>
  <c r="R23" i="1"/>
  <c r="Q13" i="1"/>
  <c r="J507" i="6" s="1"/>
  <c r="Q14" i="1"/>
  <c r="Q15" i="1"/>
  <c r="Q16" i="1"/>
  <c r="Q23" i="1"/>
  <c r="P13" i="1"/>
  <c r="K507" i="6" s="1"/>
  <c r="P14" i="1"/>
  <c r="P15" i="1"/>
  <c r="P16" i="1"/>
  <c r="P23" i="1"/>
  <c r="P77" i="1"/>
  <c r="C92" i="36"/>
  <c r="C91" i="36"/>
  <c r="C90" i="36"/>
  <c r="C89" i="36"/>
  <c r="C88" i="36"/>
  <c r="C87" i="36"/>
  <c r="AO77" i="1" l="1"/>
  <c r="AQ77" i="1" s="1"/>
  <c r="AO14" i="1"/>
  <c r="AQ14" i="1" s="1"/>
  <c r="AO16" i="1"/>
  <c r="AQ16" i="1" s="1"/>
  <c r="AO15" i="1"/>
  <c r="AQ15" i="1" s="1"/>
  <c r="AO13" i="1"/>
  <c r="AQ13" i="1" s="1"/>
  <c r="AO23" i="1"/>
  <c r="AQ23" i="1" s="1"/>
  <c r="AO89" i="1"/>
  <c r="AQ89" i="1" s="1"/>
  <c r="AO88" i="1"/>
  <c r="AQ88" i="1" s="1"/>
  <c r="I509" i="6"/>
  <c r="I510" i="6"/>
  <c r="I511" i="6"/>
  <c r="I508" i="6"/>
  <c r="P510" i="6"/>
  <c r="P511" i="6"/>
  <c r="P509" i="6"/>
  <c r="P508" i="6"/>
  <c r="J509" i="6"/>
  <c r="J510" i="6"/>
  <c r="J511" i="6"/>
  <c r="J508" i="6"/>
  <c r="K510" i="6"/>
  <c r="K511" i="6"/>
  <c r="K508" i="6"/>
  <c r="K509" i="6"/>
  <c r="P507" i="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89" i="1"/>
  <c r="V88" i="1"/>
  <c r="V15" i="1"/>
  <c r="V23" i="1"/>
  <c r="V13" i="1"/>
  <c r="V16" i="1"/>
  <c r="V14" i="1"/>
  <c r="Y20" i="1"/>
  <c r="U20" i="1"/>
  <c r="V20" i="1" s="1"/>
  <c r="S20" i="1"/>
  <c r="R20" i="1"/>
  <c r="Q20" i="1"/>
  <c r="P20" i="1"/>
  <c r="Y19" i="1"/>
  <c r="X19" i="1"/>
  <c r="W19" i="1"/>
  <c r="U19" i="1"/>
  <c r="T19" i="1"/>
  <c r="S19" i="1"/>
  <c r="R19" i="1"/>
  <c r="Q19" i="1"/>
  <c r="P19" i="1"/>
  <c r="Y18" i="1"/>
  <c r="X18" i="1"/>
  <c r="W18" i="1"/>
  <c r="U18" i="1"/>
  <c r="T18" i="1"/>
  <c r="S18" i="1"/>
  <c r="R18" i="1"/>
  <c r="Q18" i="1"/>
  <c r="P18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8" i="1" l="1"/>
  <c r="AQ18" i="1" s="1"/>
  <c r="AO19" i="1"/>
  <c r="AQ19" i="1" s="1"/>
  <c r="AO20" i="1"/>
  <c r="AQ20" i="1" s="1"/>
  <c r="M79" i="36"/>
  <c r="M78" i="36"/>
  <c r="R79" i="36"/>
  <c r="R78" i="36"/>
  <c r="L78" i="36"/>
  <c r="L79" i="36"/>
  <c r="K78" i="36"/>
  <c r="K79" i="36"/>
  <c r="V19" i="1"/>
  <c r="V18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36" i="36"/>
  <c r="R137" i="36"/>
  <c r="M136" i="36"/>
  <c r="L136" i="36"/>
  <c r="K13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77" i="1"/>
  <c r="U77" i="1"/>
  <c r="T77" i="1"/>
  <c r="S77" i="1"/>
  <c r="R77" i="1"/>
  <c r="Q77" i="1"/>
  <c r="Y78" i="1"/>
  <c r="X78" i="1"/>
  <c r="W78" i="1"/>
  <c r="U78" i="1"/>
  <c r="T78" i="1"/>
  <c r="S78" i="1"/>
  <c r="R78" i="1"/>
  <c r="Q78" i="1"/>
  <c r="P78" i="1"/>
  <c r="AO78" i="1" l="1"/>
  <c r="AQ78" i="1" s="1"/>
  <c r="V78" i="1"/>
  <c r="V77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7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E70" i="36"/>
  <c r="C70" i="36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76" i="36"/>
  <c r="C76" i="36"/>
  <c r="W7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48" i="36"/>
  <c r="I148" i="36"/>
  <c r="C146" i="36"/>
  <c r="C145" i="36"/>
  <c r="C144" i="36"/>
  <c r="C137" i="36"/>
  <c r="C136" i="36"/>
  <c r="C96" i="36"/>
  <c r="C95" i="36"/>
  <c r="C94" i="36"/>
  <c r="C93" i="36"/>
  <c r="W80" i="36"/>
  <c r="W79" i="36"/>
  <c r="W78" i="36"/>
  <c r="W77" i="36"/>
  <c r="W74" i="36"/>
  <c r="C74" i="36"/>
  <c r="E73" i="36"/>
  <c r="C73" i="36"/>
  <c r="E72" i="36"/>
  <c r="C72" i="36"/>
  <c r="E71" i="36"/>
  <c r="C71" i="36"/>
  <c r="C2" i="36"/>
  <c r="O148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85" i="1"/>
  <c r="Q85" i="1"/>
  <c r="R85" i="1"/>
  <c r="S85" i="1"/>
  <c r="T85" i="1"/>
  <c r="U85" i="1"/>
  <c r="X85" i="1"/>
  <c r="Y85" i="1"/>
  <c r="P86" i="1"/>
  <c r="Q86" i="1"/>
  <c r="R86" i="1"/>
  <c r="S86" i="1"/>
  <c r="T86" i="1"/>
  <c r="U86" i="1"/>
  <c r="X86" i="1"/>
  <c r="Y86" i="1"/>
  <c r="P87" i="1"/>
  <c r="Q87" i="1"/>
  <c r="R87" i="1"/>
  <c r="S87" i="1"/>
  <c r="T87" i="1"/>
  <c r="U87" i="1"/>
  <c r="X87" i="1"/>
  <c r="Y87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87" i="1" l="1"/>
  <c r="AQ87" i="1" s="1"/>
  <c r="AO86" i="1"/>
  <c r="AQ86" i="1" s="1"/>
  <c r="AO85" i="1"/>
  <c r="AQ85" i="1" s="1"/>
  <c r="V87" i="1"/>
  <c r="V86" i="1"/>
  <c r="V85" i="1"/>
  <c r="U368" i="6"/>
  <c r="B368" i="6"/>
  <c r="U367" i="6"/>
  <c r="B367" i="6"/>
  <c r="U366" i="6"/>
  <c r="B366" i="6"/>
  <c r="P4" i="1"/>
  <c r="Q4" i="1"/>
  <c r="R4" i="1"/>
  <c r="S4" i="1"/>
  <c r="T4" i="1"/>
  <c r="U4" i="1"/>
  <c r="W4" i="1"/>
  <c r="X4" i="1"/>
  <c r="Y4" i="1"/>
  <c r="AO4" i="1" l="1"/>
  <c r="AQ4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4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83" i="1"/>
  <c r="Y83" i="1"/>
  <c r="X84" i="1"/>
  <c r="Y84" i="1"/>
  <c r="P83" i="1"/>
  <c r="Q83" i="1"/>
  <c r="R83" i="1"/>
  <c r="S83" i="1"/>
  <c r="T83" i="1"/>
  <c r="U83" i="1"/>
  <c r="P84" i="1"/>
  <c r="Q84" i="1"/>
  <c r="R84" i="1"/>
  <c r="S84" i="1"/>
  <c r="T84" i="1"/>
  <c r="U84" i="1"/>
  <c r="AO84" i="1" l="1"/>
  <c r="AQ84" i="1" s="1"/>
  <c r="AO83" i="1"/>
  <c r="AQ83" i="1" s="1"/>
  <c r="V83" i="1"/>
  <c r="V84" i="1"/>
  <c r="E149" i="20" l="1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7" i="1"/>
  <c r="X17" i="1"/>
  <c r="W17" i="1"/>
  <c r="U17" i="1"/>
  <c r="T17" i="1"/>
  <c r="S17" i="1"/>
  <c r="R17" i="1"/>
  <c r="Q17" i="1"/>
  <c r="P17" i="1"/>
  <c r="K554" i="6" s="1"/>
  <c r="N554" i="6" s="1"/>
  <c r="Y12" i="1"/>
  <c r="X12" i="1"/>
  <c r="W12" i="1"/>
  <c r="U12" i="1"/>
  <c r="T12" i="1"/>
  <c r="S12" i="1"/>
  <c r="R12" i="1"/>
  <c r="Q12" i="1"/>
  <c r="P12" i="1"/>
  <c r="Y11" i="1"/>
  <c r="X11" i="1"/>
  <c r="W11" i="1"/>
  <c r="U11" i="1"/>
  <c r="T11" i="1"/>
  <c r="S11" i="1"/>
  <c r="R11" i="1"/>
  <c r="Q11" i="1"/>
  <c r="P11" i="1"/>
  <c r="Y5" i="1"/>
  <c r="X5" i="1"/>
  <c r="W5" i="1"/>
  <c r="U5" i="1"/>
  <c r="T5" i="1"/>
  <c r="S5" i="1"/>
  <c r="R5" i="1"/>
  <c r="Q5" i="1"/>
  <c r="P5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5" i="1" l="1"/>
  <c r="AQ5" i="1" s="1"/>
  <c r="AO12" i="1"/>
  <c r="AQ12" i="1" s="1"/>
  <c r="AO17" i="1"/>
  <c r="AQ17" i="1" s="1"/>
  <c r="AO11" i="1"/>
  <c r="AQ11" i="1" s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5" i="1"/>
  <c r="V11" i="1"/>
  <c r="V12" i="1"/>
  <c r="V17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2" i="1" l="1"/>
  <c r="X2" i="1"/>
  <c r="W2" i="1"/>
  <c r="U2" i="1"/>
  <c r="T2" i="1"/>
  <c r="S2" i="1"/>
  <c r="R2" i="1"/>
  <c r="I512" i="6" s="1"/>
  <c r="Q2" i="1"/>
  <c r="J512" i="6" s="1"/>
  <c r="P2" i="1"/>
  <c r="K512" i="6" s="1"/>
  <c r="AO2" i="1" l="1"/>
  <c r="AQ2" i="1" s="1"/>
  <c r="P512" i="6"/>
  <c r="M123" i="36"/>
  <c r="M124" i="36"/>
  <c r="M61" i="36"/>
  <c r="R123" i="36"/>
  <c r="R124" i="36"/>
  <c r="L123" i="36"/>
  <c r="L124" i="36"/>
  <c r="L61" i="36"/>
  <c r="K124" i="36"/>
  <c r="K123" i="36"/>
  <c r="K61" i="36"/>
  <c r="M122" i="36"/>
  <c r="M121" i="36"/>
  <c r="L122" i="36"/>
  <c r="L121" i="36"/>
  <c r="K121" i="36"/>
  <c r="K122" i="36"/>
  <c r="R122" i="36"/>
  <c r="R121" i="36"/>
  <c r="K469" i="6"/>
  <c r="K470" i="6"/>
  <c r="P470" i="6"/>
  <c r="P469" i="6"/>
  <c r="J470" i="6"/>
  <c r="J469" i="6"/>
  <c r="I469" i="6"/>
  <c r="I470" i="6"/>
  <c r="V2" i="1"/>
  <c r="Y3" i="1"/>
  <c r="X3" i="1"/>
  <c r="W3" i="1"/>
  <c r="U3" i="1"/>
  <c r="T3" i="1"/>
  <c r="S3" i="1"/>
  <c r="R3" i="1"/>
  <c r="Q3" i="1"/>
  <c r="P3" i="1"/>
  <c r="AO3" i="1" l="1"/>
  <c r="AQ3" i="1" s="1"/>
  <c r="V3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P505" i="6"/>
  <c r="I505" i="6"/>
  <c r="J505" i="6"/>
  <c r="K505" i="6"/>
  <c r="K90" i="36"/>
  <c r="L90" i="36"/>
  <c r="M90" i="36"/>
  <c r="K84" i="36"/>
  <c r="L84" i="36"/>
  <c r="M84" i="36"/>
  <c r="K77" i="36"/>
  <c r="L77" i="36"/>
  <c r="M77" i="36"/>
  <c r="Y10" i="1"/>
  <c r="X10" i="1"/>
  <c r="W10" i="1"/>
  <c r="U10" i="1"/>
  <c r="T10" i="1"/>
  <c r="S10" i="1"/>
  <c r="R10" i="1"/>
  <c r="Q10" i="1"/>
  <c r="P10" i="1"/>
  <c r="Y9" i="1"/>
  <c r="X9" i="1"/>
  <c r="W9" i="1"/>
  <c r="U9" i="1"/>
  <c r="T9" i="1"/>
  <c r="S9" i="1"/>
  <c r="R9" i="1"/>
  <c r="Q9" i="1"/>
  <c r="P9" i="1"/>
  <c r="Y8" i="1"/>
  <c r="X8" i="1"/>
  <c r="W8" i="1"/>
  <c r="U8" i="1"/>
  <c r="T8" i="1"/>
  <c r="S8" i="1"/>
  <c r="R8" i="1"/>
  <c r="Q8" i="1"/>
  <c r="P8" i="1"/>
  <c r="Y7" i="1"/>
  <c r="X7" i="1"/>
  <c r="W7" i="1"/>
  <c r="U7" i="1"/>
  <c r="T7" i="1"/>
  <c r="S7" i="1"/>
  <c r="R7" i="1"/>
  <c r="Q7" i="1"/>
  <c r="P7" i="1"/>
  <c r="Y6" i="1"/>
  <c r="X6" i="1"/>
  <c r="W6" i="1"/>
  <c r="U6" i="1"/>
  <c r="T6" i="1"/>
  <c r="S6" i="1"/>
  <c r="R6" i="1"/>
  <c r="Q6" i="1"/>
  <c r="P6" i="1"/>
  <c r="AO10" i="1" l="1"/>
  <c r="AQ10" i="1" s="1"/>
  <c r="AO7" i="1"/>
  <c r="AQ7" i="1" s="1"/>
  <c r="AO8" i="1"/>
  <c r="AQ8" i="1" s="1"/>
  <c r="AO6" i="1"/>
  <c r="AQ6" i="1" s="1"/>
  <c r="AO9" i="1"/>
  <c r="AQ9" i="1" s="1"/>
  <c r="M135" i="36"/>
  <c r="M133" i="36"/>
  <c r="M131" i="36"/>
  <c r="M129" i="36"/>
  <c r="K427" i="6"/>
  <c r="M134" i="36"/>
  <c r="M132" i="36"/>
  <c r="M130" i="36"/>
  <c r="M128" i="36"/>
  <c r="M65" i="36"/>
  <c r="L135" i="36"/>
  <c r="L133" i="36"/>
  <c r="L131" i="36"/>
  <c r="L129" i="36"/>
  <c r="J427" i="6"/>
  <c r="L134" i="36"/>
  <c r="L132" i="36"/>
  <c r="L130" i="36"/>
  <c r="L128" i="36"/>
  <c r="L65" i="36"/>
  <c r="I427" i="6"/>
  <c r="K135" i="36"/>
  <c r="K130" i="36"/>
  <c r="K133" i="36"/>
  <c r="K131" i="36"/>
  <c r="K129" i="36"/>
  <c r="K128" i="36"/>
  <c r="K134" i="36"/>
  <c r="K132" i="36"/>
  <c r="K65" i="36"/>
  <c r="R133" i="36"/>
  <c r="R131" i="36"/>
  <c r="R129" i="36"/>
  <c r="P427" i="6"/>
  <c r="R134" i="36"/>
  <c r="R132" i="36"/>
  <c r="R130" i="36"/>
  <c r="R128" i="36"/>
  <c r="R135" i="36"/>
  <c r="M125" i="36"/>
  <c r="M126" i="36"/>
  <c r="M127" i="36"/>
  <c r="M63" i="36"/>
  <c r="M62" i="36"/>
  <c r="R125" i="36"/>
  <c r="R126" i="36"/>
  <c r="R127" i="36"/>
  <c r="L125" i="36"/>
  <c r="L126" i="36"/>
  <c r="L127" i="36"/>
  <c r="L63" i="36"/>
  <c r="L62" i="36"/>
  <c r="K125" i="36"/>
  <c r="K126" i="36"/>
  <c r="K127" i="36"/>
  <c r="K63" i="36"/>
  <c r="K62" i="36"/>
  <c r="M120" i="36"/>
  <c r="M60" i="36"/>
  <c r="R119" i="36"/>
  <c r="R120" i="36"/>
  <c r="L120" i="36"/>
  <c r="L60" i="36"/>
  <c r="K120" i="36"/>
  <c r="K60" i="36"/>
  <c r="J497" i="6"/>
  <c r="L119" i="36"/>
  <c r="K497" i="6"/>
  <c r="M119" i="36"/>
  <c r="I497" i="6"/>
  <c r="K11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84" i="36"/>
  <c r="R90" i="36"/>
  <c r="R77" i="36"/>
  <c r="M57" i="36"/>
  <c r="M102" i="36"/>
  <c r="M103" i="36"/>
  <c r="M101" i="36"/>
  <c r="R102" i="36"/>
  <c r="R101" i="36"/>
  <c r="R103" i="36"/>
  <c r="L57" i="36"/>
  <c r="L101" i="36"/>
  <c r="L102" i="36"/>
  <c r="L103" i="36"/>
  <c r="K57" i="36"/>
  <c r="K101" i="36"/>
  <c r="K102" i="36"/>
  <c r="K103" i="36"/>
  <c r="M98" i="36"/>
  <c r="M97" i="36"/>
  <c r="R97" i="36"/>
  <c r="R98" i="36"/>
  <c r="L97" i="36"/>
  <c r="L98" i="36"/>
  <c r="K97" i="36"/>
  <c r="K98" i="36"/>
  <c r="M47" i="36"/>
  <c r="M87" i="36"/>
  <c r="R85" i="36"/>
  <c r="R87" i="36"/>
  <c r="L47" i="36"/>
  <c r="L87" i="36"/>
  <c r="K47" i="36"/>
  <c r="K87" i="36"/>
  <c r="M85" i="36"/>
  <c r="M86" i="36"/>
  <c r="L85" i="36"/>
  <c r="L86" i="36"/>
  <c r="K461" i="6"/>
  <c r="P461" i="6"/>
  <c r="K85" i="36"/>
  <c r="K8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8" i="1"/>
  <c r="V7" i="1"/>
  <c r="V9" i="1"/>
  <c r="V10" i="1"/>
  <c r="V6" i="1"/>
  <c r="I121" i="7" l="1"/>
  <c r="K274" i="6" l="1"/>
  <c r="P274" i="6"/>
  <c r="J274" i="6"/>
  <c r="P368" i="6"/>
  <c r="J368" i="6"/>
  <c r="I368" i="6"/>
  <c r="I274" i="6"/>
  <c r="K368" i="6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79" i="1" l="1"/>
  <c r="W79" i="1"/>
  <c r="W80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I431" i="6"/>
  <c r="J431" i="6"/>
  <c r="K431" i="6"/>
  <c r="P431" i="6" l="1"/>
  <c r="M46" i="36"/>
  <c r="M81" i="36"/>
  <c r="M82" i="36"/>
  <c r="M83" i="36"/>
  <c r="L46" i="36"/>
  <c r="L82" i="36"/>
  <c r="L83" i="36"/>
  <c r="L81" i="36"/>
  <c r="K46" i="36"/>
  <c r="K81" i="36"/>
  <c r="K82" i="36"/>
  <c r="K83" i="36"/>
  <c r="R81" i="36"/>
  <c r="R82" i="36"/>
  <c r="R8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U230" i="6" l="1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K110" i="36"/>
  <c r="L110" i="36"/>
  <c r="M110" i="36"/>
  <c r="K95" i="36"/>
  <c r="L95" i="36"/>
  <c r="M95" i="36"/>
  <c r="K80" i="36"/>
  <c r="L80" i="36"/>
  <c r="M80" i="36"/>
  <c r="K109" i="36"/>
  <c r="L109" i="36"/>
  <c r="M109" i="36"/>
  <c r="L116" i="36" l="1"/>
  <c r="L114" i="36"/>
  <c r="L117" i="36"/>
  <c r="L115" i="36"/>
  <c r="L118" i="36"/>
  <c r="L59" i="36"/>
  <c r="M114" i="36"/>
  <c r="M117" i="36"/>
  <c r="M115" i="36"/>
  <c r="M118" i="36"/>
  <c r="M116" i="36"/>
  <c r="M59" i="36"/>
  <c r="K118" i="36"/>
  <c r="K116" i="36"/>
  <c r="K114" i="36"/>
  <c r="K117" i="36"/>
  <c r="K115" i="36"/>
  <c r="K59" i="36"/>
  <c r="R114" i="36"/>
  <c r="R117" i="36"/>
  <c r="R115" i="36"/>
  <c r="R118" i="36"/>
  <c r="R116" i="36"/>
  <c r="M111" i="36"/>
  <c r="M113" i="36"/>
  <c r="M112" i="36"/>
  <c r="M58" i="36"/>
  <c r="R113" i="36"/>
  <c r="R112" i="36"/>
  <c r="L111" i="36"/>
  <c r="L113" i="36"/>
  <c r="L112" i="36"/>
  <c r="L58" i="36"/>
  <c r="K111" i="36"/>
  <c r="K113" i="36"/>
  <c r="K112" i="36"/>
  <c r="K58" i="36"/>
  <c r="R111" i="36"/>
  <c r="R110" i="36"/>
  <c r="R109" i="36"/>
  <c r="R80" i="36"/>
  <c r="R9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U199" i="6" l="1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N566" i="6" l="1"/>
  <c r="N567" i="6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B145" i="6"/>
  <c r="U144" i="6"/>
  <c r="B144" i="6"/>
  <c r="U143" i="6"/>
  <c r="B143" i="6"/>
  <c r="U142" i="6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K3657" i="33"/>
  <c r="J3657" i="33"/>
  <c r="I3657" i="33"/>
  <c r="B3657" i="33"/>
  <c r="U3656" i="33"/>
  <c r="B3656" i="33"/>
  <c r="U3655" i="33"/>
  <c r="B3655" i="33"/>
  <c r="U3654" i="33"/>
  <c r="B3654" i="33"/>
  <c r="U3653" i="33"/>
  <c r="B3653" i="33"/>
  <c r="U3652" i="33"/>
  <c r="B3652" i="33"/>
  <c r="U3651" i="33"/>
  <c r="K3649" i="33"/>
  <c r="J3649" i="33"/>
  <c r="I3648" i="33"/>
  <c r="B3651" i="33"/>
  <c r="U3650" i="33"/>
  <c r="B3650" i="33"/>
  <c r="U3649" i="33"/>
  <c r="B3649" i="33"/>
  <c r="U3648" i="33"/>
  <c r="B3648" i="33"/>
  <c r="U3647" i="33"/>
  <c r="B3647" i="33"/>
  <c r="U3646" i="33"/>
  <c r="K3644" i="33"/>
  <c r="J3644" i="33"/>
  <c r="I3643" i="33"/>
  <c r="B3646" i="33"/>
  <c r="U3645" i="33"/>
  <c r="B3645" i="33"/>
  <c r="U3644" i="33"/>
  <c r="B3644" i="33"/>
  <c r="U3643" i="33"/>
  <c r="B3643" i="33"/>
  <c r="U3642" i="33"/>
  <c r="B3642" i="33"/>
  <c r="U3641" i="33"/>
  <c r="K3641" i="33"/>
  <c r="J3641" i="33"/>
  <c r="I3641" i="33"/>
  <c r="B3641" i="33"/>
  <c r="U3640" i="33"/>
  <c r="K3640" i="33"/>
  <c r="J3640" i="33"/>
  <c r="I3638" i="33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K3634" i="33"/>
  <c r="J3634" i="33"/>
  <c r="I3634" i="33"/>
  <c r="B3634" i="33"/>
  <c r="U3633" i="33"/>
  <c r="K3628" i="33"/>
  <c r="J3631" i="33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K3626" i="33"/>
  <c r="I3625" i="33"/>
  <c r="B3627" i="33"/>
  <c r="U3626" i="33"/>
  <c r="B3626" i="33"/>
  <c r="U3625" i="33"/>
  <c r="B3625" i="33"/>
  <c r="U3624" i="33"/>
  <c r="B3624" i="33"/>
  <c r="U3623" i="33"/>
  <c r="B3623" i="33"/>
  <c r="U3622" i="33"/>
  <c r="K3618" i="33"/>
  <c r="J3620" i="33"/>
  <c r="I3618" i="33"/>
  <c r="B3622" i="33"/>
  <c r="U3621" i="33"/>
  <c r="B3621" i="33"/>
  <c r="U3620" i="33"/>
  <c r="B3620" i="33"/>
  <c r="U3619" i="33"/>
  <c r="B3619" i="33"/>
  <c r="U3618" i="33"/>
  <c r="B3618" i="33"/>
  <c r="U3617" i="33"/>
  <c r="K3617" i="33"/>
  <c r="J3617" i="33"/>
  <c r="I3617" i="33"/>
  <c r="B3617" i="33"/>
  <c r="U3616" i="33"/>
  <c r="K3615" i="33"/>
  <c r="J3616" i="33"/>
  <c r="I3615" i="33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K3658" i="33"/>
  <c r="J3658" i="33"/>
  <c r="I3658" i="33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K3577" i="33"/>
  <c r="J3578" i="33"/>
  <c r="B3578" i="33"/>
  <c r="U3577" i="33"/>
  <c r="B3577" i="33"/>
  <c r="U3576" i="33"/>
  <c r="B3576" i="33"/>
  <c r="U3575" i="33"/>
  <c r="B3575" i="33"/>
  <c r="U3574" i="33"/>
  <c r="K3574" i="33"/>
  <c r="J3574" i="33"/>
  <c r="I3574" i="33"/>
  <c r="B3574" i="33"/>
  <c r="U3573" i="33"/>
  <c r="K3573" i="33"/>
  <c r="J3573" i="33"/>
  <c r="I3573" i="33"/>
  <c r="B3573" i="33"/>
  <c r="U3572" i="33"/>
  <c r="B3572" i="33"/>
  <c r="U3571" i="33"/>
  <c r="B3571" i="33"/>
  <c r="U3570" i="33"/>
  <c r="B3570" i="33"/>
  <c r="U3569" i="33"/>
  <c r="B3569" i="33"/>
  <c r="U3568" i="33"/>
  <c r="K3567" i="33"/>
  <c r="J3567" i="33"/>
  <c r="I3564" i="33"/>
  <c r="B3568" i="33"/>
  <c r="U3567" i="33"/>
  <c r="B3567" i="33"/>
  <c r="U3566" i="33"/>
  <c r="B3566" i="33"/>
  <c r="U3565" i="33"/>
  <c r="B3565" i="33"/>
  <c r="U3564" i="33"/>
  <c r="B3564" i="33"/>
  <c r="U3563" i="33"/>
  <c r="K3563" i="33"/>
  <c r="J3563" i="33"/>
  <c r="I3563" i="33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K3553" i="33"/>
  <c r="J3555" i="33"/>
  <c r="I3553" i="33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K3536" i="33"/>
  <c r="J3540" i="33"/>
  <c r="I3540" i="33"/>
  <c r="B3540" i="33"/>
  <c r="U3539" i="33"/>
  <c r="B3539" i="33"/>
  <c r="U3538" i="33"/>
  <c r="B3538" i="33"/>
  <c r="U3537" i="33"/>
  <c r="B3537" i="33"/>
  <c r="U3536" i="33"/>
  <c r="B3536" i="33"/>
  <c r="U3535" i="33"/>
  <c r="I3535" i="33"/>
  <c r="B3535" i="33"/>
  <c r="U3534" i="33"/>
  <c r="B3534" i="33"/>
  <c r="U3533" i="33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K3527" i="33"/>
  <c r="J3527" i="33"/>
  <c r="I3527" i="33"/>
  <c r="B3527" i="33"/>
  <c r="U3526" i="33"/>
  <c r="K3526" i="33"/>
  <c r="J3526" i="33"/>
  <c r="I3526" i="33"/>
  <c r="B3526" i="33"/>
  <c r="U3525" i="33"/>
  <c r="K3525" i="33"/>
  <c r="I3523" i="33"/>
  <c r="B3525" i="33"/>
  <c r="U3524" i="33"/>
  <c r="B3524" i="33"/>
  <c r="U3523" i="33"/>
  <c r="B3523" i="33"/>
  <c r="U3522" i="33"/>
  <c r="K3521" i="33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K3506" i="33"/>
  <c r="I3507" i="33"/>
  <c r="B3507" i="33"/>
  <c r="U3506" i="33"/>
  <c r="B3506" i="33"/>
  <c r="U3505" i="33"/>
  <c r="B3505" i="33"/>
  <c r="U3504" i="33"/>
  <c r="B3504" i="33"/>
  <c r="U3503" i="33"/>
  <c r="B3503" i="33"/>
  <c r="U3502" i="33"/>
  <c r="K3501" i="33"/>
  <c r="B3502" i="33"/>
  <c r="U3501" i="33"/>
  <c r="B3501" i="33"/>
  <c r="U3500" i="33"/>
  <c r="J3500" i="33"/>
  <c r="B3500" i="33"/>
  <c r="U3499" i="33"/>
  <c r="B3499" i="33"/>
  <c r="U3498" i="33"/>
  <c r="K3498" i="33"/>
  <c r="J3498" i="33"/>
  <c r="I3498" i="33"/>
  <c r="B3498" i="33"/>
  <c r="U3497" i="33"/>
  <c r="B3497" i="33"/>
  <c r="U3496" i="33"/>
  <c r="B3496" i="33"/>
  <c r="U3495" i="33"/>
  <c r="K3495" i="33"/>
  <c r="J3495" i="33"/>
  <c r="I3495" i="33"/>
  <c r="B3495" i="33"/>
  <c r="U3494" i="33"/>
  <c r="K3492" i="33"/>
  <c r="J3493" i="33"/>
  <c r="I3493" i="33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K3470" i="33"/>
  <c r="I3471" i="33"/>
  <c r="B3471" i="33"/>
  <c r="U3470" i="33"/>
  <c r="B3470" i="33"/>
  <c r="U3469" i="33"/>
  <c r="B3469" i="33"/>
  <c r="U3468" i="33"/>
  <c r="J3467" i="33"/>
  <c r="B3468" i="33"/>
  <c r="U3467" i="33"/>
  <c r="B3467" i="33"/>
  <c r="U3466" i="33"/>
  <c r="B3466" i="33"/>
  <c r="U3465" i="33"/>
  <c r="B3465" i="33"/>
  <c r="U3464" i="33"/>
  <c r="K3464" i="33"/>
  <c r="J3464" i="33"/>
  <c r="I3464" i="33"/>
  <c r="B3464" i="33"/>
  <c r="U3463" i="33"/>
  <c r="P3463" i="33"/>
  <c r="B3463" i="33"/>
  <c r="U3462" i="33"/>
  <c r="P3462" i="33"/>
  <c r="B3462" i="33"/>
  <c r="B3461" i="33"/>
  <c r="B3460" i="33"/>
  <c r="B3459" i="33"/>
  <c r="B3458" i="33"/>
  <c r="B3457" i="33"/>
  <c r="B3456" i="33"/>
  <c r="B3455" i="33"/>
  <c r="U3454" i="33"/>
  <c r="B3454" i="33"/>
  <c r="U3453" i="33"/>
  <c r="B3453" i="33"/>
  <c r="U3452" i="33"/>
  <c r="B3452" i="33"/>
  <c r="U3451" i="33"/>
  <c r="B3451" i="33"/>
  <c r="U3450" i="33"/>
  <c r="B3450" i="33"/>
  <c r="U3449" i="33"/>
  <c r="K3449" i="33"/>
  <c r="J3449" i="33"/>
  <c r="I3448" i="33"/>
  <c r="B3449" i="33"/>
  <c r="U3448" i="33"/>
  <c r="B3448" i="33"/>
  <c r="U3447" i="33"/>
  <c r="B3447" i="33"/>
  <c r="U3446" i="33"/>
  <c r="J3446" i="33"/>
  <c r="I3445" i="33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K3432" i="33"/>
  <c r="J3432" i="33"/>
  <c r="I3432" i="33"/>
  <c r="B3432" i="33"/>
  <c r="U3431" i="33"/>
  <c r="B3431" i="33"/>
  <c r="U3430" i="33"/>
  <c r="B3430" i="33"/>
  <c r="U3429" i="33"/>
  <c r="K3429" i="33"/>
  <c r="J3429" i="33"/>
  <c r="B3429" i="33"/>
  <c r="U3428" i="33"/>
  <c r="B3428" i="33"/>
  <c r="U3427" i="33"/>
  <c r="B3427" i="33"/>
  <c r="U3426" i="33"/>
  <c r="J3424" i="33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K3415" i="33"/>
  <c r="J3416" i="33"/>
  <c r="B3416" i="33"/>
  <c r="U3415" i="33"/>
  <c r="B3415" i="33"/>
  <c r="U3414" i="33"/>
  <c r="K3412" i="33"/>
  <c r="J3414" i="33"/>
  <c r="B3414" i="33"/>
  <c r="U3413" i="33"/>
  <c r="B3413" i="33"/>
  <c r="U3412" i="33"/>
  <c r="B3412" i="33"/>
  <c r="U3411" i="33"/>
  <c r="J3411" i="33"/>
  <c r="I3411" i="33"/>
  <c r="B3411" i="33"/>
  <c r="U3410" i="33"/>
  <c r="B3410" i="33"/>
  <c r="U3409" i="33"/>
  <c r="J3404" i="33"/>
  <c r="I3408" i="33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K3402" i="33"/>
  <c r="J3402" i="33"/>
  <c r="I3403" i="33"/>
  <c r="B3403" i="33"/>
  <c r="U3402" i="33"/>
  <c r="B3402" i="33"/>
  <c r="U3401" i="33"/>
  <c r="P3401" i="33"/>
  <c r="B3401" i="33"/>
  <c r="U3400" i="33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K3389" i="33"/>
  <c r="I3392" i="33"/>
  <c r="B3392" i="33"/>
  <c r="U3391" i="33"/>
  <c r="B3391" i="33"/>
  <c r="U3390" i="33"/>
  <c r="B3390" i="33"/>
  <c r="U3389" i="33"/>
  <c r="B3389" i="33"/>
  <c r="U3388" i="33"/>
  <c r="K3388" i="33"/>
  <c r="J3386" i="33"/>
  <c r="I3388" i="33"/>
  <c r="B3388" i="33"/>
  <c r="U3387" i="33"/>
  <c r="B3387" i="33"/>
  <c r="U3386" i="33"/>
  <c r="B3386" i="33"/>
  <c r="U3385" i="33"/>
  <c r="J3381" i="33"/>
  <c r="I3382" i="33"/>
  <c r="B3385" i="33"/>
  <c r="U3384" i="33"/>
  <c r="B3384" i="33"/>
  <c r="U3383" i="33"/>
  <c r="B3383" i="33"/>
  <c r="U3382" i="33"/>
  <c r="B3382" i="33"/>
  <c r="U3381" i="33"/>
  <c r="B3381" i="33"/>
  <c r="U3380" i="33"/>
  <c r="J3379" i="33"/>
  <c r="B3380" i="33"/>
  <c r="U3379" i="33"/>
  <c r="B3379" i="33"/>
  <c r="U3378" i="33"/>
  <c r="K3377" i="33"/>
  <c r="J3377" i="33"/>
  <c r="I3378" i="33"/>
  <c r="B3378" i="33"/>
  <c r="U3377" i="33"/>
  <c r="B3377" i="33"/>
  <c r="U3376" i="33"/>
  <c r="B3376" i="33"/>
  <c r="U3375" i="33"/>
  <c r="K3372" i="33"/>
  <c r="J3375" i="33"/>
  <c r="I3372" i="33"/>
  <c r="B3375" i="33"/>
  <c r="U3374" i="33"/>
  <c r="B3374" i="33"/>
  <c r="U3373" i="33"/>
  <c r="B3373" i="33"/>
  <c r="U3372" i="33"/>
  <c r="B3372" i="33"/>
  <c r="U3371" i="33"/>
  <c r="K3370" i="33"/>
  <c r="J3370" i="33"/>
  <c r="B3371" i="33"/>
  <c r="U3370" i="33"/>
  <c r="B3370" i="33"/>
  <c r="U3369" i="33"/>
  <c r="B3369" i="33"/>
  <c r="U3368" i="33"/>
  <c r="J3367" i="33"/>
  <c r="I3368" i="33"/>
  <c r="B3368" i="33"/>
  <c r="U3367" i="33"/>
  <c r="B3367" i="33"/>
  <c r="U3366" i="33"/>
  <c r="B3366" i="33"/>
  <c r="U3365" i="33"/>
  <c r="B3365" i="33"/>
  <c r="U3364" i="33"/>
  <c r="B3364" i="33"/>
  <c r="J3360" i="33"/>
  <c r="I3360" i="33"/>
  <c r="B3363" i="33"/>
  <c r="B3362" i="33"/>
  <c r="B3361" i="33"/>
  <c r="B3360" i="33"/>
  <c r="U3359" i="33"/>
  <c r="B3359" i="33"/>
  <c r="U3358" i="33"/>
  <c r="B3358" i="33"/>
  <c r="U3357" i="33"/>
  <c r="B3357" i="33"/>
  <c r="U3356" i="33"/>
  <c r="K3356" i="33"/>
  <c r="J3356" i="33"/>
  <c r="I3356" i="33"/>
  <c r="B3356" i="33"/>
  <c r="U3355" i="33"/>
  <c r="B3355" i="33"/>
  <c r="U3354" i="33"/>
  <c r="B3354" i="33"/>
  <c r="U3353" i="33"/>
  <c r="K3353" i="33"/>
  <c r="J3353" i="33"/>
  <c r="I3353" i="33"/>
  <c r="B3353" i="33"/>
  <c r="U3352" i="33"/>
  <c r="B3352" i="33"/>
  <c r="U3351" i="33"/>
  <c r="K3351" i="33"/>
  <c r="I3350" i="33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K3344" i="33"/>
  <c r="J3344" i="33"/>
  <c r="I3344" i="33"/>
  <c r="B3344" i="33"/>
  <c r="U3343" i="33"/>
  <c r="K3341" i="33"/>
  <c r="I3341" i="33"/>
  <c r="B3343" i="33"/>
  <c r="U3342" i="33"/>
  <c r="B3342" i="33"/>
  <c r="U3341" i="33"/>
  <c r="B3341" i="33"/>
  <c r="U3340" i="33"/>
  <c r="B3340" i="33"/>
  <c r="U3339" i="33"/>
  <c r="I3339" i="33"/>
  <c r="B3339" i="33"/>
  <c r="U3338" i="33"/>
  <c r="B3338" i="33"/>
  <c r="U3337" i="33"/>
  <c r="B3337" i="33"/>
  <c r="U3336" i="33"/>
  <c r="J3335" i="33"/>
  <c r="I3332" i="33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K3325" i="33"/>
  <c r="J3329" i="33"/>
  <c r="I3326" i="33"/>
  <c r="B3329" i="33"/>
  <c r="U3328" i="33"/>
  <c r="B3328" i="33"/>
  <c r="U3327" i="33"/>
  <c r="B3327" i="33"/>
  <c r="U3326" i="33"/>
  <c r="B3326" i="33"/>
  <c r="U3325" i="33"/>
  <c r="B3325" i="33"/>
  <c r="U3324" i="33"/>
  <c r="K3324" i="33"/>
  <c r="J3324" i="33"/>
  <c r="I3324" i="33"/>
  <c r="B3324" i="33"/>
  <c r="U3323" i="33"/>
  <c r="B3323" i="33"/>
  <c r="U3322" i="33"/>
  <c r="K3322" i="33"/>
  <c r="J3322" i="33"/>
  <c r="I3322" i="33"/>
  <c r="B3322" i="33"/>
  <c r="U3321" i="33"/>
  <c r="K3319" i="33"/>
  <c r="J3319" i="33"/>
  <c r="I3320" i="33"/>
  <c r="B3321" i="33"/>
  <c r="U3320" i="33"/>
  <c r="B3320" i="33"/>
  <c r="U3319" i="33"/>
  <c r="B3319" i="33"/>
  <c r="U3318" i="33"/>
  <c r="K3318" i="33"/>
  <c r="J3318" i="33"/>
  <c r="I3318" i="33"/>
  <c r="B3318" i="33"/>
  <c r="U3317" i="33"/>
  <c r="B3317" i="33"/>
  <c r="U3316" i="33"/>
  <c r="B3316" i="33"/>
  <c r="U3315" i="33"/>
  <c r="B3315" i="33"/>
  <c r="U3314" i="33"/>
  <c r="K3314" i="33"/>
  <c r="J3314" i="33"/>
  <c r="I3314" i="33"/>
  <c r="B3314" i="33"/>
  <c r="U3313" i="33"/>
  <c r="K3311" i="33"/>
  <c r="J3309" i="33"/>
  <c r="I3310" i="33"/>
  <c r="B3313" i="33"/>
  <c r="U3312" i="33"/>
  <c r="B3312" i="33"/>
  <c r="U3311" i="33"/>
  <c r="B3311" i="33"/>
  <c r="U3310" i="33"/>
  <c r="B3310" i="33"/>
  <c r="U3309" i="33"/>
  <c r="B3309" i="33"/>
  <c r="U3308" i="33"/>
  <c r="K3308" i="33"/>
  <c r="J3308" i="33"/>
  <c r="I3308" i="33"/>
  <c r="B3308" i="33"/>
  <c r="U3307" i="33"/>
  <c r="B3307" i="33"/>
  <c r="U3306" i="33"/>
  <c r="K3306" i="33"/>
  <c r="J3306" i="33"/>
  <c r="I3306" i="33"/>
  <c r="B3306" i="33"/>
  <c r="U3305" i="33"/>
  <c r="J3304" i="33"/>
  <c r="I3304" i="33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K3296" i="33"/>
  <c r="J3296" i="33"/>
  <c r="I3296" i="33"/>
  <c r="B3296" i="33"/>
  <c r="U3295" i="33"/>
  <c r="B3295" i="33"/>
  <c r="U3294" i="33"/>
  <c r="B3294" i="33"/>
  <c r="U3293" i="33"/>
  <c r="B3293" i="33"/>
  <c r="U3292" i="33"/>
  <c r="K3289" i="33"/>
  <c r="J3289" i="33"/>
  <c r="I3291" i="33"/>
  <c r="B3292" i="33"/>
  <c r="U3291" i="33"/>
  <c r="B3291" i="33"/>
  <c r="U3290" i="33"/>
  <c r="B3290" i="33"/>
  <c r="U3289" i="33"/>
  <c r="B3289" i="33"/>
  <c r="U3288" i="33"/>
  <c r="B3288" i="33"/>
  <c r="U3287" i="33"/>
  <c r="K3284" i="33"/>
  <c r="J3287" i="33"/>
  <c r="B3287" i="33"/>
  <c r="U3286" i="33"/>
  <c r="B3286" i="33"/>
  <c r="U3285" i="33"/>
  <c r="B3285" i="33"/>
  <c r="U3284" i="33"/>
  <c r="B3284" i="33"/>
  <c r="U3283" i="33"/>
  <c r="K3282" i="33"/>
  <c r="J3282" i="33"/>
  <c r="B3283" i="33"/>
  <c r="U3282" i="33"/>
  <c r="B3282" i="33"/>
  <c r="U3281" i="33"/>
  <c r="B3281" i="33"/>
  <c r="U3280" i="33"/>
  <c r="J3280" i="33"/>
  <c r="I3279" i="33"/>
  <c r="B3280" i="33"/>
  <c r="U3279" i="33"/>
  <c r="B3279" i="33"/>
  <c r="U3278" i="33"/>
  <c r="B3278" i="33"/>
  <c r="U3277" i="33"/>
  <c r="B3277" i="33"/>
  <c r="U3276" i="33"/>
  <c r="J3276" i="33"/>
  <c r="I3274" i="33"/>
  <c r="B3276" i="33"/>
  <c r="U3275" i="33"/>
  <c r="B3275" i="33"/>
  <c r="U3274" i="33"/>
  <c r="B3274" i="33"/>
  <c r="U3273" i="33"/>
  <c r="K3268" i="33"/>
  <c r="J3273" i="33"/>
  <c r="I3267" i="33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K3257" i="33"/>
  <c r="J3256" i="33"/>
  <c r="B3257" i="33"/>
  <c r="U3256" i="33"/>
  <c r="B3256" i="33"/>
  <c r="U3255" i="33"/>
  <c r="B3255" i="33"/>
  <c r="U3254" i="33"/>
  <c r="I3254" i="33"/>
  <c r="B3254" i="33"/>
  <c r="U3253" i="33"/>
  <c r="B3253" i="33"/>
  <c r="U3252" i="33"/>
  <c r="B3252" i="33"/>
  <c r="U3251" i="33"/>
  <c r="J3251" i="33"/>
  <c r="I3248" i="33"/>
  <c r="B3251" i="33"/>
  <c r="U3250" i="33"/>
  <c r="B3250" i="33"/>
  <c r="U3249" i="33"/>
  <c r="B3249" i="33"/>
  <c r="U3248" i="33"/>
  <c r="B3248" i="33"/>
  <c r="U3247" i="33"/>
  <c r="K3243" i="33"/>
  <c r="J3243" i="33"/>
  <c r="I3247" i="33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K3228" i="33"/>
  <c r="J3224" i="33"/>
  <c r="I3227" i="33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K3220" i="33"/>
  <c r="J3222" i="33"/>
  <c r="I3220" i="33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K3211" i="33"/>
  <c r="J3215" i="33"/>
  <c r="I3215" i="33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K3209" i="33"/>
  <c r="J3209" i="33"/>
  <c r="I3209" i="33"/>
  <c r="B3209" i="33"/>
  <c r="U3208" i="33"/>
  <c r="K3208" i="33"/>
  <c r="I3207" i="33"/>
  <c r="B3208" i="33"/>
  <c r="U3207" i="33"/>
  <c r="B3207" i="33"/>
  <c r="U3206" i="33"/>
  <c r="K3206" i="33"/>
  <c r="I3204" i="33"/>
  <c r="B3206" i="33"/>
  <c r="U3205" i="33"/>
  <c r="B3205" i="33"/>
  <c r="U3204" i="33"/>
  <c r="B3204" i="33"/>
  <c r="U3203" i="33"/>
  <c r="B3203" i="33"/>
  <c r="U3202" i="33"/>
  <c r="B3202" i="33"/>
  <c r="U3201" i="33"/>
  <c r="B3201" i="33"/>
  <c r="U3200" i="33"/>
  <c r="B3200" i="33"/>
  <c r="U3199" i="33"/>
  <c r="J3198" i="33"/>
  <c r="B3199" i="33"/>
  <c r="U3198" i="33"/>
  <c r="B3198" i="33"/>
  <c r="U3197" i="33"/>
  <c r="B3197" i="33"/>
  <c r="U3196" i="33"/>
  <c r="B3196" i="33"/>
  <c r="U3195" i="33"/>
  <c r="B3195" i="33"/>
  <c r="U3194" i="33"/>
  <c r="B3194" i="33"/>
  <c r="U3193" i="33"/>
  <c r="B3193" i="33"/>
  <c r="U3192" i="33"/>
  <c r="B3192" i="33"/>
  <c r="U3191" i="33"/>
  <c r="B3191" i="33"/>
  <c r="U3190" i="33"/>
  <c r="K3189" i="33"/>
  <c r="J3189" i="33"/>
  <c r="I3190" i="33"/>
  <c r="B3190" i="33"/>
  <c r="U3189" i="33"/>
  <c r="B3189" i="33"/>
  <c r="U3188" i="33"/>
  <c r="B3188" i="33"/>
  <c r="U3187" i="33"/>
  <c r="B3187" i="33"/>
  <c r="U3186" i="33"/>
  <c r="B3186" i="33"/>
  <c r="U3185" i="33"/>
  <c r="K3184" i="33"/>
  <c r="J3183" i="33"/>
  <c r="I3184" i="33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K3177" i="33"/>
  <c r="J3177" i="33"/>
  <c r="I3177" i="33"/>
  <c r="B3177" i="33"/>
  <c r="U3176" i="33"/>
  <c r="B3176" i="33"/>
  <c r="U3175" i="33"/>
  <c r="K3175" i="33"/>
  <c r="J3175" i="33"/>
  <c r="I3175" i="33"/>
  <c r="B3175" i="33"/>
  <c r="U3174" i="33"/>
  <c r="K3174" i="33"/>
  <c r="J3174" i="33"/>
  <c r="I3174" i="33"/>
  <c r="B3174" i="33"/>
  <c r="U3173" i="33"/>
  <c r="K3173" i="33"/>
  <c r="J3173" i="33"/>
  <c r="I3173" i="33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K3164" i="33"/>
  <c r="J3163" i="33"/>
  <c r="I3164" i="33"/>
  <c r="B3164" i="33"/>
  <c r="U3163" i="33"/>
  <c r="B3163" i="33"/>
  <c r="U3162" i="33"/>
  <c r="K3160" i="33"/>
  <c r="J3158" i="33"/>
  <c r="I3159" i="33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K3151" i="33"/>
  <c r="J3151" i="33"/>
  <c r="I3151" i="33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J3147" i="33"/>
  <c r="I3148" i="33"/>
  <c r="B3148" i="33"/>
  <c r="U3147" i="33"/>
  <c r="B3147" i="33"/>
  <c r="U3146" i="33"/>
  <c r="K3146" i="33"/>
  <c r="I3146" i="33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K3139" i="33"/>
  <c r="J3139" i="33"/>
  <c r="I3139" i="33"/>
  <c r="B3139" i="33"/>
  <c r="K2853" i="33"/>
  <c r="J2853" i="33"/>
  <c r="I2853" i="33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J3131" i="33"/>
  <c r="B3132" i="33"/>
  <c r="U3131" i="33"/>
  <c r="B3131" i="33"/>
  <c r="U3130" i="33"/>
  <c r="B3130" i="33"/>
  <c r="U3129" i="33"/>
  <c r="K3127" i="33"/>
  <c r="J3127" i="33"/>
  <c r="I3128" i="33"/>
  <c r="B3129" i="33"/>
  <c r="U3128" i="33"/>
  <c r="B3128" i="33"/>
  <c r="U3127" i="33"/>
  <c r="B3127" i="33"/>
  <c r="U3126" i="33"/>
  <c r="J3126" i="33"/>
  <c r="I3125" i="33"/>
  <c r="B3126" i="33"/>
  <c r="U3125" i="33"/>
  <c r="B3125" i="33"/>
  <c r="U3124" i="33"/>
  <c r="B3124" i="33"/>
  <c r="U3123" i="33"/>
  <c r="B3123" i="33"/>
  <c r="U3122" i="33"/>
  <c r="K3122" i="33"/>
  <c r="J3122" i="33"/>
  <c r="B3122" i="33"/>
  <c r="U3121" i="33"/>
  <c r="B3121" i="33"/>
  <c r="U3120" i="33"/>
  <c r="B3120" i="33"/>
  <c r="U3119" i="33"/>
  <c r="B3119" i="33"/>
  <c r="U3118" i="33"/>
  <c r="J3116" i="33"/>
  <c r="I3116" i="33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B3111" i="33"/>
  <c r="U3110" i="33"/>
  <c r="B3110" i="33"/>
  <c r="U3109" i="33"/>
  <c r="B3109" i="33"/>
  <c r="U3108" i="33"/>
  <c r="B3108" i="33"/>
  <c r="U3107" i="33"/>
  <c r="K3106" i="33"/>
  <c r="J3106" i="33"/>
  <c r="I3104" i="33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B3095" i="33"/>
  <c r="U3094" i="33"/>
  <c r="B3094" i="33"/>
  <c r="U3093" i="33"/>
  <c r="B3093" i="33"/>
  <c r="U3092" i="33"/>
  <c r="B3092" i="33"/>
  <c r="U3091" i="33"/>
  <c r="K3088" i="33"/>
  <c r="I3090" i="33"/>
  <c r="B3091" i="33"/>
  <c r="U3090" i="33"/>
  <c r="B3090" i="33"/>
  <c r="U3089" i="33"/>
  <c r="B3089" i="33"/>
  <c r="U3088" i="33"/>
  <c r="B3088" i="33"/>
  <c r="U3087" i="33"/>
  <c r="I3085" i="33"/>
  <c r="B3087" i="33"/>
  <c r="U3086" i="33"/>
  <c r="B3086" i="33"/>
  <c r="U3085" i="33"/>
  <c r="B3085" i="33"/>
  <c r="U3084" i="33"/>
  <c r="J3081" i="33"/>
  <c r="I3084" i="33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K3077" i="33"/>
  <c r="J3071" i="33"/>
  <c r="I3074" i="33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K3057" i="33"/>
  <c r="J3059" i="33"/>
  <c r="I3059" i="33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J3055" i="33"/>
  <c r="I3054" i="33"/>
  <c r="B3055" i="33"/>
  <c r="U3054" i="33"/>
  <c r="B3054" i="33"/>
  <c r="U3053" i="33"/>
  <c r="I3053" i="33"/>
  <c r="B3053" i="33"/>
  <c r="U3052" i="33"/>
  <c r="B3052" i="33"/>
  <c r="U3051" i="33"/>
  <c r="B3051" i="33"/>
  <c r="U3050" i="33"/>
  <c r="B3050" i="33"/>
  <c r="U3049" i="33"/>
  <c r="B3049" i="33"/>
  <c r="U3048" i="33"/>
  <c r="K3047" i="33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K3041" i="33"/>
  <c r="J3040" i="33"/>
  <c r="B3042" i="33"/>
  <c r="U3041" i="33"/>
  <c r="B3041" i="33"/>
  <c r="U3040" i="33"/>
  <c r="B3040" i="33"/>
  <c r="U3039" i="33"/>
  <c r="J3039" i="33"/>
  <c r="B3039" i="33"/>
  <c r="U3038" i="33"/>
  <c r="B3038" i="33"/>
  <c r="U3037" i="33"/>
  <c r="B3037" i="33"/>
  <c r="U3036" i="33"/>
  <c r="B3036" i="33"/>
  <c r="U3035" i="33"/>
  <c r="K3033" i="33"/>
  <c r="I3035" i="33"/>
  <c r="B3035" i="33"/>
  <c r="U3034" i="33"/>
  <c r="B3034" i="33"/>
  <c r="U3033" i="33"/>
  <c r="B3033" i="33"/>
  <c r="U3032" i="33"/>
  <c r="B3032" i="33"/>
  <c r="U3031" i="33"/>
  <c r="I3031" i="33"/>
  <c r="B3031" i="33"/>
  <c r="U3030" i="33"/>
  <c r="B3030" i="33"/>
  <c r="U3029" i="33"/>
  <c r="J3028" i="33"/>
  <c r="I3027" i="33"/>
  <c r="B3029" i="33"/>
  <c r="U3028" i="33"/>
  <c r="B3028" i="33"/>
  <c r="U3027" i="33"/>
  <c r="B3027" i="33"/>
  <c r="U3026" i="33"/>
  <c r="K3026" i="33"/>
  <c r="J3026" i="33"/>
  <c r="I3026" i="33"/>
  <c r="B3026" i="33"/>
  <c r="U3025" i="33"/>
  <c r="K3025" i="33"/>
  <c r="J3025" i="33"/>
  <c r="B3025" i="33"/>
  <c r="U3024" i="33"/>
  <c r="B3024" i="33"/>
  <c r="U3023" i="33"/>
  <c r="B3023" i="33"/>
  <c r="U3022" i="33"/>
  <c r="B3022" i="33"/>
  <c r="U3021" i="33"/>
  <c r="J3020" i="33"/>
  <c r="B3021" i="33"/>
  <c r="U3020" i="33"/>
  <c r="B3020" i="33"/>
  <c r="U3019" i="33"/>
  <c r="K3019" i="33"/>
  <c r="J3019" i="33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K3009" i="33"/>
  <c r="B3009" i="33"/>
  <c r="U3008" i="33"/>
  <c r="B3008" i="33"/>
  <c r="U3007" i="33"/>
  <c r="B3007" i="33"/>
  <c r="U3006" i="33"/>
  <c r="K2996" i="33"/>
  <c r="J2997" i="33"/>
  <c r="I2999" i="33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K2992" i="33"/>
  <c r="J2989" i="33"/>
  <c r="I2988" i="33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K2986" i="33"/>
  <c r="J2986" i="33"/>
  <c r="I2986" i="33"/>
  <c r="B2986" i="33"/>
  <c r="U2985" i="33"/>
  <c r="K2985" i="33"/>
  <c r="J2985" i="33"/>
  <c r="I2985" i="33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K2971" i="33"/>
  <c r="J2971" i="33"/>
  <c r="I2971" i="33"/>
  <c r="B2971" i="33"/>
  <c r="U2970" i="33"/>
  <c r="K2970" i="33"/>
  <c r="J2969" i="33"/>
  <c r="I2970" i="33"/>
  <c r="B2970" i="33"/>
  <c r="U2969" i="33"/>
  <c r="B2969" i="33"/>
  <c r="U2968" i="33"/>
  <c r="B2968" i="33"/>
  <c r="U2967" i="33"/>
  <c r="K2967" i="33"/>
  <c r="J2965" i="33"/>
  <c r="I2967" i="33"/>
  <c r="B2967" i="33"/>
  <c r="U2966" i="33"/>
  <c r="B2966" i="33"/>
  <c r="U2965" i="33"/>
  <c r="B2965" i="33"/>
  <c r="U2964" i="33"/>
  <c r="K2964" i="33"/>
  <c r="J2964" i="33"/>
  <c r="I2964" i="33"/>
  <c r="B2964" i="33"/>
  <c r="U2963" i="33"/>
  <c r="B2963" i="33"/>
  <c r="U2962" i="33"/>
  <c r="B2962" i="33"/>
  <c r="U2961" i="33"/>
  <c r="B2961" i="33"/>
  <c r="U2960" i="33"/>
  <c r="B2960" i="33"/>
  <c r="U2959" i="33"/>
  <c r="K2959" i="33"/>
  <c r="J2959" i="33"/>
  <c r="I2959" i="33"/>
  <c r="B2959" i="33"/>
  <c r="U2958" i="33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K2946" i="33"/>
  <c r="J2946" i="33"/>
  <c r="B2946" i="33"/>
  <c r="U2945" i="33"/>
  <c r="B2945" i="33"/>
  <c r="U2944" i="33"/>
  <c r="J2944" i="33"/>
  <c r="I2942" i="33"/>
  <c r="B2944" i="33"/>
  <c r="U2943" i="33"/>
  <c r="B2943" i="33"/>
  <c r="U2942" i="33"/>
  <c r="B2942" i="33"/>
  <c r="U2941" i="33"/>
  <c r="K2941" i="33"/>
  <c r="J2939" i="33"/>
  <c r="I2941" i="33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K2927" i="33"/>
  <c r="J2928" i="33"/>
  <c r="B2928" i="33"/>
  <c r="U2927" i="33"/>
  <c r="B2927" i="33"/>
  <c r="U2926" i="33"/>
  <c r="B2926" i="33"/>
  <c r="U2925" i="33"/>
  <c r="B2925" i="33"/>
  <c r="U2924" i="33"/>
  <c r="K2924" i="33"/>
  <c r="J2924" i="33"/>
  <c r="B2924" i="33"/>
  <c r="U2923" i="33"/>
  <c r="B2923" i="33"/>
  <c r="U2922" i="33"/>
  <c r="B2922" i="33"/>
  <c r="U2921" i="33"/>
  <c r="J2921" i="33"/>
  <c r="I2920" i="33"/>
  <c r="B2921" i="33"/>
  <c r="U2920" i="33"/>
  <c r="B2920" i="33"/>
  <c r="U2919" i="33"/>
  <c r="J2919" i="33"/>
  <c r="B2919" i="33"/>
  <c r="U2918" i="33"/>
  <c r="B2918" i="33"/>
  <c r="U2917" i="33"/>
  <c r="K2916" i="33"/>
  <c r="J2916" i="33"/>
  <c r="B2917" i="33"/>
  <c r="U2916" i="33"/>
  <c r="B2916" i="33"/>
  <c r="U2915" i="33"/>
  <c r="K2915" i="33"/>
  <c r="J2915" i="33"/>
  <c r="I2915" i="33"/>
  <c r="B2915" i="33"/>
  <c r="U2914" i="33"/>
  <c r="K2910" i="33"/>
  <c r="J2910" i="33"/>
  <c r="I2909" i="33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I2899" i="33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K2893" i="33"/>
  <c r="J2893" i="33"/>
  <c r="I2893" i="33"/>
  <c r="B2893" i="33"/>
  <c r="U2892" i="33"/>
  <c r="K2892" i="33"/>
  <c r="J2892" i="33"/>
  <c r="I2892" i="33"/>
  <c r="B2892" i="33"/>
  <c r="U2891" i="33"/>
  <c r="K2889" i="33"/>
  <c r="J2889" i="33"/>
  <c r="B2891" i="33"/>
  <c r="U2890" i="33"/>
  <c r="B2890" i="33"/>
  <c r="U2889" i="33"/>
  <c r="B2889" i="33"/>
  <c r="U2888" i="33"/>
  <c r="K2887" i="33"/>
  <c r="I2888" i="33"/>
  <c r="B2888" i="33"/>
  <c r="U2887" i="33"/>
  <c r="B2887" i="33"/>
  <c r="U2886" i="33"/>
  <c r="B2886" i="33"/>
  <c r="U2885" i="33"/>
  <c r="B2885" i="33"/>
  <c r="U2884" i="33"/>
  <c r="K2882" i="33"/>
  <c r="J2883" i="33"/>
  <c r="I2882" i="33"/>
  <c r="B2884" i="33"/>
  <c r="U2883" i="33"/>
  <c r="B2883" i="33"/>
  <c r="U2882" i="33"/>
  <c r="B2882" i="33"/>
  <c r="U2881" i="33"/>
  <c r="K2880" i="33"/>
  <c r="J2879" i="33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J2875" i="33"/>
  <c r="I2873" i="33"/>
  <c r="B2875" i="33"/>
  <c r="U2874" i="33"/>
  <c r="B2874" i="33"/>
  <c r="U2873" i="33"/>
  <c r="B2873" i="33"/>
  <c r="U2872" i="33"/>
  <c r="K2870" i="33"/>
  <c r="J2872" i="33"/>
  <c r="I2872" i="33"/>
  <c r="B2872" i="33"/>
  <c r="U2871" i="33"/>
  <c r="B2871" i="33"/>
  <c r="U2870" i="33"/>
  <c r="B2870" i="33"/>
  <c r="U2869" i="33"/>
  <c r="B2869" i="33"/>
  <c r="U2868" i="33"/>
  <c r="K2867" i="33"/>
  <c r="J2867" i="33"/>
  <c r="B2868" i="33"/>
  <c r="U2867" i="33"/>
  <c r="B2867" i="33"/>
  <c r="U2866" i="33"/>
  <c r="K2866" i="33"/>
  <c r="J2866" i="33"/>
  <c r="I2866" i="33"/>
  <c r="B2866" i="33"/>
  <c r="U2865" i="33"/>
  <c r="K2862" i="33"/>
  <c r="J2863" i="33"/>
  <c r="I2865" i="33"/>
  <c r="B2865" i="33"/>
  <c r="U2864" i="33"/>
  <c r="B2864" i="33"/>
  <c r="U2863" i="33"/>
  <c r="B2863" i="33"/>
  <c r="U2862" i="33"/>
  <c r="B2862" i="33"/>
  <c r="U2861" i="33"/>
  <c r="K2861" i="33"/>
  <c r="J2860" i="33"/>
  <c r="I2860" i="33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K2854" i="33"/>
  <c r="J2854" i="33"/>
  <c r="I2854" i="33"/>
  <c r="B2854" i="33"/>
  <c r="U2853" i="33"/>
  <c r="B2853" i="33"/>
  <c r="U2852" i="33"/>
  <c r="K2849" i="33"/>
  <c r="J2850" i="33"/>
  <c r="I2849" i="33"/>
  <c r="B2852" i="33"/>
  <c r="U2851" i="33"/>
  <c r="B2851" i="33"/>
  <c r="U2850" i="33"/>
  <c r="B2850" i="33"/>
  <c r="U2849" i="33"/>
  <c r="B2849" i="33"/>
  <c r="U2848" i="33"/>
  <c r="B2848" i="33"/>
  <c r="U2847" i="33"/>
  <c r="I2847" i="33"/>
  <c r="B2847" i="33"/>
  <c r="U2846" i="33"/>
  <c r="B2846" i="33"/>
  <c r="U2845" i="33"/>
  <c r="B2845" i="33"/>
  <c r="U2844" i="33"/>
  <c r="B2844" i="33"/>
  <c r="U2843" i="33"/>
  <c r="K2843" i="33"/>
  <c r="J2842" i="33"/>
  <c r="B2843" i="33"/>
  <c r="U2842" i="33"/>
  <c r="B2842" i="33"/>
  <c r="U2841" i="33"/>
  <c r="J2839" i="33"/>
  <c r="B2841" i="33"/>
  <c r="U2840" i="33"/>
  <c r="B2840" i="33"/>
  <c r="U2839" i="33"/>
  <c r="B2839" i="33"/>
  <c r="U2838" i="33"/>
  <c r="J2836" i="33"/>
  <c r="I2837" i="33"/>
  <c r="B2838" i="33"/>
  <c r="U2837" i="33"/>
  <c r="B2837" i="33"/>
  <c r="U2836" i="33"/>
  <c r="B2836" i="33"/>
  <c r="U2835" i="33"/>
  <c r="B2835" i="33"/>
  <c r="U2834" i="33"/>
  <c r="B2834" i="33"/>
  <c r="U2833" i="33"/>
  <c r="K2830" i="33"/>
  <c r="J2826" i="33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K2823" i="33"/>
  <c r="J2825" i="33"/>
  <c r="I2821" i="33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J2818" i="33"/>
  <c r="I2817" i="33"/>
  <c r="B2819" i="33"/>
  <c r="U2818" i="33"/>
  <c r="B2818" i="33"/>
  <c r="U2817" i="33"/>
  <c r="B2817" i="33"/>
  <c r="U2816" i="33"/>
  <c r="K2810" i="33"/>
  <c r="J2812" i="33"/>
  <c r="I2814" i="33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K2805" i="33"/>
  <c r="J2805" i="33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J2797" i="33"/>
  <c r="I2798" i="33"/>
  <c r="B2799" i="33"/>
  <c r="U2798" i="33"/>
  <c r="B2798" i="33"/>
  <c r="U2797" i="33"/>
  <c r="B2797" i="33"/>
  <c r="U2796" i="33"/>
  <c r="B2796" i="33"/>
  <c r="U2795" i="33"/>
  <c r="B2795" i="33"/>
  <c r="U2794" i="33"/>
  <c r="B2794" i="33"/>
  <c r="U2793" i="33"/>
  <c r="B2793" i="33"/>
  <c r="U2792" i="33"/>
  <c r="B2792" i="33"/>
  <c r="U2791" i="33"/>
  <c r="B2791" i="33"/>
  <c r="U2790" i="33"/>
  <c r="K2790" i="33"/>
  <c r="J2788" i="33"/>
  <c r="B2790" i="33"/>
  <c r="U2789" i="33"/>
  <c r="B2789" i="33"/>
  <c r="U2788" i="33"/>
  <c r="B2788" i="33"/>
  <c r="U2787" i="33"/>
  <c r="B2787" i="33"/>
  <c r="U2786" i="33"/>
  <c r="B2786" i="33"/>
  <c r="U2785" i="33"/>
  <c r="J2783" i="33"/>
  <c r="I2783" i="33"/>
  <c r="B2785" i="33"/>
  <c r="U2784" i="33"/>
  <c r="B2784" i="33"/>
  <c r="U2783" i="33"/>
  <c r="B2783" i="33"/>
  <c r="U2782" i="33"/>
  <c r="J2777" i="33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J2774" i="33"/>
  <c r="I2775" i="33"/>
  <c r="B2775" i="33"/>
  <c r="U2774" i="33"/>
  <c r="B2774" i="33"/>
  <c r="U2773" i="33"/>
  <c r="B2773" i="33"/>
  <c r="U2772" i="33"/>
  <c r="B2772" i="33"/>
  <c r="U2771" i="33"/>
  <c r="B2771" i="33"/>
  <c r="U2770" i="33"/>
  <c r="B2770" i="33"/>
  <c r="U2769" i="33"/>
  <c r="B2769" i="33"/>
  <c r="U2768" i="33"/>
  <c r="K2768" i="33"/>
  <c r="J2768" i="33"/>
  <c r="I2764" i="33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J2759" i="33"/>
  <c r="I2760" i="33"/>
  <c r="B2762" i="33"/>
  <c r="U2761" i="33"/>
  <c r="B2761" i="33"/>
  <c r="U2760" i="33"/>
  <c r="B2760" i="33"/>
  <c r="U2759" i="33"/>
  <c r="B2759" i="33"/>
  <c r="U2758" i="33"/>
  <c r="K2758" i="33"/>
  <c r="J2758" i="33"/>
  <c r="I2758" i="33"/>
  <c r="B2758" i="33"/>
  <c r="U2757" i="33"/>
  <c r="K2757" i="33"/>
  <c r="J2757" i="33"/>
  <c r="I2757" i="33"/>
  <c r="B2757" i="33"/>
  <c r="U2756" i="33"/>
  <c r="K2756" i="33"/>
  <c r="I2755" i="33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K2750" i="33"/>
  <c r="J2749" i="33"/>
  <c r="I2750" i="33"/>
  <c r="B2750" i="33"/>
  <c r="U2749" i="33"/>
  <c r="B2749" i="33"/>
  <c r="U2748" i="33"/>
  <c r="K2748" i="33"/>
  <c r="J2747" i="33"/>
  <c r="I2748" i="33"/>
  <c r="B2748" i="33"/>
  <c r="U2747" i="33"/>
  <c r="B2747" i="33"/>
  <c r="U2746" i="33"/>
  <c r="B2746" i="33"/>
  <c r="U2745" i="33"/>
  <c r="K2745" i="33"/>
  <c r="J2745" i="33"/>
  <c r="I2745" i="33"/>
  <c r="B2745" i="33"/>
  <c r="U2744" i="33"/>
  <c r="K2742" i="33"/>
  <c r="J2742" i="33"/>
  <c r="I2742" i="33"/>
  <c r="B2744" i="33"/>
  <c r="U2743" i="33"/>
  <c r="B2743" i="33"/>
  <c r="U2742" i="33"/>
  <c r="B2742" i="33"/>
  <c r="U2741" i="33"/>
  <c r="K2741" i="33"/>
  <c r="J2741" i="33"/>
  <c r="I2741" i="33"/>
  <c r="B2741" i="33"/>
  <c r="U2740" i="33"/>
  <c r="B2740" i="33"/>
  <c r="U2739" i="33"/>
  <c r="K2738" i="33"/>
  <c r="I2737" i="33"/>
  <c r="B2739" i="33"/>
  <c r="U2738" i="33"/>
  <c r="B2738" i="33"/>
  <c r="U2737" i="33"/>
  <c r="B2737" i="33"/>
  <c r="U2736" i="33"/>
  <c r="B2736" i="33"/>
  <c r="U2735" i="33"/>
  <c r="B2735" i="33"/>
  <c r="U2734" i="33"/>
  <c r="B2734" i="33"/>
  <c r="U2733" i="33"/>
  <c r="K2729" i="33"/>
  <c r="I2732" i="33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K2725" i="33"/>
  <c r="I2725" i="33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J2719" i="33"/>
  <c r="I2720" i="33"/>
  <c r="B2720" i="33"/>
  <c r="U2719" i="33"/>
  <c r="B2719" i="33"/>
  <c r="U2718" i="33"/>
  <c r="J2718" i="33"/>
  <c r="B2718" i="33"/>
  <c r="U2717" i="33"/>
  <c r="B2717" i="33"/>
  <c r="U2716" i="33"/>
  <c r="B2716" i="33"/>
  <c r="U2715" i="33"/>
  <c r="B2715" i="33"/>
  <c r="U2714" i="33"/>
  <c r="K2712" i="33"/>
  <c r="J2711" i="33"/>
  <c r="I2711" i="33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I2703" i="33"/>
  <c r="B2703" i="33"/>
  <c r="U2702" i="33"/>
  <c r="B2702" i="33"/>
  <c r="U2701" i="33"/>
  <c r="K2701" i="33"/>
  <c r="I2699" i="33"/>
  <c r="B2701" i="33"/>
  <c r="U2700" i="33"/>
  <c r="B2700" i="33"/>
  <c r="U2699" i="33"/>
  <c r="B2699" i="33"/>
  <c r="U2698" i="33"/>
  <c r="B2698" i="33"/>
  <c r="U2697" i="33"/>
  <c r="J2697" i="33"/>
  <c r="I2696" i="33"/>
  <c r="B2697" i="33"/>
  <c r="U2696" i="33"/>
  <c r="B2696" i="33"/>
  <c r="U2695" i="33"/>
  <c r="K2695" i="33"/>
  <c r="J2695" i="33"/>
  <c r="I2695" i="33"/>
  <c r="B2695" i="33"/>
  <c r="U2694" i="33"/>
  <c r="K2693" i="33"/>
  <c r="I2694" i="33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K2683" i="33"/>
  <c r="I2683" i="33"/>
  <c r="B2686" i="33"/>
  <c r="U2685" i="33"/>
  <c r="B2685" i="33"/>
  <c r="U2684" i="33"/>
  <c r="B2684" i="33"/>
  <c r="U2683" i="33"/>
  <c r="B2683" i="33"/>
  <c r="U2682" i="33"/>
  <c r="K2682" i="33"/>
  <c r="J2682" i="33"/>
  <c r="I2682" i="33"/>
  <c r="B2682" i="33"/>
  <c r="U2681" i="33"/>
  <c r="B2681" i="33"/>
  <c r="U2680" i="33"/>
  <c r="J2680" i="33"/>
  <c r="B2680" i="33"/>
  <c r="U2679" i="33"/>
  <c r="B2679" i="33"/>
  <c r="U2678" i="33"/>
  <c r="B2678" i="33"/>
  <c r="U2677" i="33"/>
  <c r="K2676" i="33"/>
  <c r="I2673" i="33"/>
  <c r="B2677" i="33"/>
  <c r="U2676" i="33"/>
  <c r="B2676" i="33"/>
  <c r="U2675" i="33"/>
  <c r="B2675" i="33"/>
  <c r="U2674" i="33"/>
  <c r="B2674" i="33"/>
  <c r="U2673" i="33"/>
  <c r="B2673" i="33"/>
  <c r="U2672" i="33"/>
  <c r="J2670" i="33"/>
  <c r="I2670" i="33"/>
  <c r="B2672" i="33"/>
  <c r="U2671" i="33"/>
  <c r="B2671" i="33"/>
  <c r="U2670" i="33"/>
  <c r="B2670" i="33"/>
  <c r="U2669" i="33"/>
  <c r="I2668" i="33"/>
  <c r="B2669" i="33"/>
  <c r="U2668" i="33"/>
  <c r="B2668" i="33"/>
  <c r="U2667" i="33"/>
  <c r="J2665" i="33"/>
  <c r="I2667" i="33"/>
  <c r="B2667" i="33"/>
  <c r="U2666" i="33"/>
  <c r="B2666" i="33"/>
  <c r="U2665" i="33"/>
  <c r="B2665" i="33"/>
  <c r="U2664" i="33"/>
  <c r="B2664" i="33"/>
  <c r="U2663" i="33"/>
  <c r="B2663" i="33"/>
  <c r="U2662" i="33"/>
  <c r="B2662" i="33"/>
  <c r="U2661" i="33"/>
  <c r="K2661" i="33"/>
  <c r="J2661" i="33"/>
  <c r="I2661" i="33"/>
  <c r="B2661" i="33"/>
  <c r="U2660" i="33"/>
  <c r="B2660" i="33"/>
  <c r="U2659" i="33"/>
  <c r="B2659" i="33"/>
  <c r="U2658" i="33"/>
  <c r="B2658" i="33"/>
  <c r="U2657" i="33"/>
  <c r="K2657" i="33"/>
  <c r="J2657" i="33"/>
  <c r="I2657" i="33"/>
  <c r="B2657" i="33"/>
  <c r="U2656" i="33"/>
  <c r="B2656" i="33"/>
  <c r="U2655" i="33"/>
  <c r="K2655" i="33"/>
  <c r="J2654" i="33"/>
  <c r="I2654" i="33"/>
  <c r="B2655" i="33"/>
  <c r="U2654" i="33"/>
  <c r="B2654" i="33"/>
  <c r="U2653" i="33"/>
  <c r="B2653" i="33"/>
  <c r="U2652" i="33"/>
  <c r="K2651" i="33"/>
  <c r="J2652" i="33"/>
  <c r="I2652" i="33"/>
  <c r="B2652" i="33"/>
  <c r="U2651" i="33"/>
  <c r="B2651" i="33"/>
  <c r="U2650" i="33"/>
  <c r="B2650" i="33"/>
  <c r="U2649" i="33"/>
  <c r="B2649" i="33"/>
  <c r="U2648" i="33"/>
  <c r="B2648" i="33"/>
  <c r="U2647" i="33"/>
  <c r="K2647" i="33"/>
  <c r="I2646" i="33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J2636" i="33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K2624" i="33"/>
  <c r="I2625" i="33"/>
  <c r="B2625" i="33"/>
  <c r="U2624" i="33"/>
  <c r="B2624" i="33"/>
  <c r="U2623" i="33"/>
  <c r="B2623" i="33"/>
  <c r="U2622" i="33"/>
  <c r="J2622" i="33"/>
  <c r="I2622" i="33"/>
  <c r="B2622" i="33"/>
  <c r="U2621" i="33"/>
  <c r="B2621" i="33"/>
  <c r="U2620" i="33"/>
  <c r="K2620" i="33"/>
  <c r="J2620" i="33"/>
  <c r="I2620" i="33"/>
  <c r="B2620" i="33"/>
  <c r="U2619" i="33"/>
  <c r="K2619" i="33"/>
  <c r="J2619" i="33"/>
  <c r="I2619" i="33"/>
  <c r="B2619" i="33"/>
  <c r="U2618" i="33"/>
  <c r="B2618" i="33"/>
  <c r="U2617" i="33"/>
  <c r="B2617" i="33"/>
  <c r="U2616" i="33"/>
  <c r="B2616" i="33"/>
  <c r="U2615" i="33"/>
  <c r="B2615" i="33"/>
  <c r="U2614" i="33"/>
  <c r="K2613" i="33"/>
  <c r="J2612" i="33"/>
  <c r="B2614" i="33"/>
  <c r="U2613" i="33"/>
  <c r="B2613" i="33"/>
  <c r="U2612" i="33"/>
  <c r="B2612" i="33"/>
  <c r="U2611" i="33"/>
  <c r="K2611" i="33"/>
  <c r="J2611" i="33"/>
  <c r="I2611" i="33"/>
  <c r="B2611" i="33"/>
  <c r="U2610" i="33"/>
  <c r="K2604" i="33"/>
  <c r="J2603" i="33"/>
  <c r="I2608" i="33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K2602" i="33"/>
  <c r="J2602" i="33"/>
  <c r="I2602" i="33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J2596" i="33"/>
  <c r="I2595" i="33"/>
  <c r="B2596" i="33"/>
  <c r="U2595" i="33"/>
  <c r="B2595" i="33"/>
  <c r="U2594" i="33"/>
  <c r="K2593" i="33"/>
  <c r="J2593" i="33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J2580" i="33"/>
  <c r="B2581" i="33"/>
  <c r="U2580" i="33"/>
  <c r="B2580" i="33"/>
  <c r="U2579" i="33"/>
  <c r="B2579" i="33"/>
  <c r="U2578" i="33"/>
  <c r="B2578" i="33"/>
  <c r="U2577" i="33"/>
  <c r="B2577" i="33"/>
  <c r="U2576" i="33"/>
  <c r="K2576" i="33"/>
  <c r="J2572" i="33"/>
  <c r="I2572" i="33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K2566" i="33"/>
  <c r="J2566" i="33"/>
  <c r="B2566" i="33"/>
  <c r="U2565" i="33"/>
  <c r="B2565" i="33"/>
  <c r="U2564" i="33"/>
  <c r="B2564" i="33"/>
  <c r="U2563" i="33"/>
  <c r="K2558" i="33"/>
  <c r="J2558" i="33"/>
  <c r="I2558" i="33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K2556" i="33"/>
  <c r="J2557" i="33"/>
  <c r="B2557" i="33"/>
  <c r="U2556" i="33"/>
  <c r="B2556" i="33"/>
  <c r="U2555" i="33"/>
  <c r="B2555" i="33"/>
  <c r="U2554" i="33"/>
  <c r="B2554" i="33"/>
  <c r="U2553" i="33"/>
  <c r="B2553" i="33"/>
  <c r="U2552" i="33"/>
  <c r="K2549" i="33"/>
  <c r="J2550" i="33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I2544" i="33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K2533" i="33"/>
  <c r="B2535" i="33"/>
  <c r="U2534" i="33"/>
  <c r="B2534" i="33"/>
  <c r="U2533" i="33"/>
  <c r="B2533" i="33"/>
  <c r="U2532" i="33"/>
  <c r="B2532" i="33"/>
  <c r="U2531" i="33"/>
  <c r="K2531" i="33"/>
  <c r="J2531" i="33"/>
  <c r="I2531" i="33"/>
  <c r="B2531" i="33"/>
  <c r="U2530" i="33"/>
  <c r="K2527" i="33"/>
  <c r="J2530" i="33"/>
  <c r="I2527" i="33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K2516" i="33"/>
  <c r="J2516" i="33"/>
  <c r="I2516" i="33"/>
  <c r="B2516" i="33"/>
  <c r="U2515" i="33"/>
  <c r="I2515" i="33"/>
  <c r="B2515" i="33"/>
  <c r="U2514" i="33"/>
  <c r="B2514" i="33"/>
  <c r="U2513" i="33"/>
  <c r="J2510" i="33"/>
  <c r="I2513" i="33"/>
  <c r="B2513" i="33"/>
  <c r="U2512" i="33"/>
  <c r="B2512" i="33"/>
  <c r="U2511" i="33"/>
  <c r="B2511" i="33"/>
  <c r="U2510" i="33"/>
  <c r="B2510" i="33"/>
  <c r="U2509" i="33"/>
  <c r="K2506" i="33"/>
  <c r="J2507" i="33"/>
  <c r="I2509" i="33"/>
  <c r="B2509" i="33"/>
  <c r="U2508" i="33"/>
  <c r="B2508" i="33"/>
  <c r="U2507" i="33"/>
  <c r="B2507" i="33"/>
  <c r="U2506" i="33"/>
  <c r="B2506" i="33"/>
  <c r="U2505" i="33"/>
  <c r="K2502" i="33"/>
  <c r="J2504" i="33"/>
  <c r="I2502" i="33"/>
  <c r="B2505" i="33"/>
  <c r="U2504" i="33"/>
  <c r="B2504" i="33"/>
  <c r="U2503" i="33"/>
  <c r="B2503" i="33"/>
  <c r="U2502" i="33"/>
  <c r="B2502" i="33"/>
  <c r="U2501" i="33"/>
  <c r="B2501" i="33"/>
  <c r="U2500" i="33"/>
  <c r="K2495" i="33"/>
  <c r="J2494" i="33"/>
  <c r="I2492" i="33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K2490" i="33"/>
  <c r="J2489" i="33"/>
  <c r="B2490" i="33"/>
  <c r="U2489" i="33"/>
  <c r="B2489" i="33"/>
  <c r="U2488" i="33"/>
  <c r="K2487" i="33"/>
  <c r="I2488" i="33"/>
  <c r="B2488" i="33"/>
  <c r="U2487" i="33"/>
  <c r="B2487" i="33"/>
  <c r="U2486" i="33"/>
  <c r="B2486" i="33"/>
  <c r="U2485" i="33"/>
  <c r="K2485" i="33"/>
  <c r="J2485" i="33"/>
  <c r="I2485" i="33"/>
  <c r="B2485" i="33"/>
  <c r="U2484" i="33"/>
  <c r="B2484" i="33"/>
  <c r="U2483" i="33"/>
  <c r="K2482" i="33"/>
  <c r="J2483" i="33"/>
  <c r="B2483" i="33"/>
  <c r="U2482" i="33"/>
  <c r="B2482" i="33"/>
  <c r="U2481" i="33"/>
  <c r="K2471" i="33"/>
  <c r="J2479" i="33"/>
  <c r="I2471" i="33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J2466" i="33"/>
  <c r="I2466" i="33"/>
  <c r="B2467" i="33"/>
  <c r="U2466" i="33"/>
  <c r="B2466" i="33"/>
  <c r="U2465" i="33"/>
  <c r="B2465" i="33"/>
  <c r="U2464" i="33"/>
  <c r="B2464" i="33"/>
  <c r="U2463" i="33"/>
  <c r="K2463" i="33"/>
  <c r="J2462" i="33"/>
  <c r="B2463" i="33"/>
  <c r="U2462" i="33"/>
  <c r="B2462" i="33"/>
  <c r="U2461" i="33"/>
  <c r="K2457" i="33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K2447" i="33"/>
  <c r="J2447" i="33"/>
  <c r="I2447" i="33"/>
  <c r="B2447" i="33"/>
  <c r="U2446" i="33"/>
  <c r="B2446" i="33"/>
  <c r="U2445" i="33"/>
  <c r="B2445" i="33"/>
  <c r="U2444" i="33"/>
  <c r="K2444" i="33"/>
  <c r="J2444" i="33"/>
  <c r="B2444" i="33"/>
  <c r="U2443" i="33"/>
  <c r="B2443" i="33"/>
  <c r="U2442" i="33"/>
  <c r="B2442" i="33"/>
  <c r="U2441" i="33"/>
  <c r="B2441" i="33"/>
  <c r="U2440" i="33"/>
  <c r="K2440" i="33"/>
  <c r="J2440" i="33"/>
  <c r="I2440" i="33"/>
  <c r="B2440" i="33"/>
  <c r="U2439" i="33"/>
  <c r="B2439" i="33"/>
  <c r="U2438" i="33"/>
  <c r="B2438" i="33"/>
  <c r="U2437" i="33"/>
  <c r="K2436" i="33"/>
  <c r="J2437" i="33"/>
  <c r="B2437" i="33"/>
  <c r="U2436" i="33"/>
  <c r="B2436" i="33"/>
  <c r="U2435" i="33"/>
  <c r="K2435" i="33"/>
  <c r="J2435" i="33"/>
  <c r="I2435" i="33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U2422" i="33"/>
  <c r="K2422" i="33"/>
  <c r="J2422" i="33"/>
  <c r="I2421" i="33"/>
  <c r="B2422" i="33"/>
  <c r="U2421" i="33"/>
  <c r="B2421" i="33"/>
  <c r="U2420" i="33"/>
  <c r="K2419" i="33"/>
  <c r="J2418" i="33"/>
  <c r="I2418" i="33"/>
  <c r="B2420" i="33"/>
  <c r="U2419" i="33"/>
  <c r="B2419" i="33"/>
  <c r="U2418" i="33"/>
  <c r="B2418" i="33"/>
  <c r="U2417" i="33"/>
  <c r="B2417" i="33"/>
  <c r="U2416" i="33"/>
  <c r="B2416" i="33"/>
  <c r="U2415" i="33"/>
  <c r="K2415" i="33"/>
  <c r="J2414" i="33"/>
  <c r="B2415" i="33"/>
  <c r="U2414" i="33"/>
  <c r="B2414" i="33"/>
  <c r="U2413" i="33"/>
  <c r="B2413" i="33"/>
  <c r="U2412" i="33"/>
  <c r="B2412" i="33"/>
  <c r="U2411" i="33"/>
  <c r="K2408" i="33"/>
  <c r="J2409" i="33"/>
  <c r="I2410" i="33"/>
  <c r="B2411" i="33"/>
  <c r="U2410" i="33"/>
  <c r="B2410" i="33"/>
  <c r="U2409" i="33"/>
  <c r="B2409" i="33"/>
  <c r="U2408" i="33"/>
  <c r="B2408" i="33"/>
  <c r="U2407" i="33"/>
  <c r="K2407" i="33"/>
  <c r="J2405" i="33"/>
  <c r="I2404" i="33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I2400" i="33"/>
  <c r="B2401" i="33"/>
  <c r="U2400" i="33"/>
  <c r="B2400" i="33"/>
  <c r="U2399" i="33"/>
  <c r="B2399" i="33"/>
  <c r="U2398" i="33"/>
  <c r="I2397" i="33"/>
  <c r="B2398" i="33"/>
  <c r="U2397" i="33"/>
  <c r="B2397" i="33"/>
  <c r="U2396" i="33"/>
  <c r="B2396" i="33"/>
  <c r="U2395" i="33"/>
  <c r="B2395" i="33"/>
  <c r="U2394" i="33"/>
  <c r="B2394" i="33"/>
  <c r="U2393" i="33"/>
  <c r="K2393" i="33"/>
  <c r="J2393" i="33"/>
  <c r="I2393" i="33"/>
  <c r="B2393" i="33"/>
  <c r="U2392" i="33"/>
  <c r="K2392" i="33"/>
  <c r="J2392" i="33"/>
  <c r="I2392" i="33"/>
  <c r="B2392" i="33"/>
  <c r="U2391" i="33"/>
  <c r="J2391" i="33"/>
  <c r="B2391" i="33"/>
  <c r="U2390" i="33"/>
  <c r="B2390" i="33"/>
  <c r="U2389" i="33"/>
  <c r="B2389" i="33"/>
  <c r="U2388" i="33"/>
  <c r="K2385" i="33"/>
  <c r="I2387" i="33"/>
  <c r="B2388" i="33"/>
  <c r="U2387" i="33"/>
  <c r="B2387" i="33"/>
  <c r="U2386" i="33"/>
  <c r="B2386" i="33"/>
  <c r="U2385" i="33"/>
  <c r="B2385" i="33"/>
  <c r="U2384" i="33"/>
  <c r="K2384" i="33"/>
  <c r="B2384" i="33"/>
  <c r="U2383" i="33"/>
  <c r="B2383" i="33"/>
  <c r="U2382" i="33"/>
  <c r="J2382" i="33"/>
  <c r="I2380" i="33"/>
  <c r="B2382" i="33"/>
  <c r="U2381" i="33"/>
  <c r="B2381" i="33"/>
  <c r="U2380" i="33"/>
  <c r="B2380" i="33"/>
  <c r="U2379" i="33"/>
  <c r="B2379" i="33"/>
  <c r="U2378" i="33"/>
  <c r="K2377" i="33"/>
  <c r="J2378" i="33"/>
  <c r="B2378" i="33"/>
  <c r="U2377" i="33"/>
  <c r="B2377" i="33"/>
  <c r="U2376" i="33"/>
  <c r="B2376" i="33"/>
  <c r="U2375" i="33"/>
  <c r="B2375" i="33"/>
  <c r="U2374" i="33"/>
  <c r="J2371" i="33"/>
  <c r="I2374" i="33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K2368" i="33"/>
  <c r="J2368" i="33"/>
  <c r="I2367" i="33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J2360" i="33"/>
  <c r="I2357" i="33"/>
  <c r="B2360" i="33"/>
  <c r="U2359" i="33"/>
  <c r="B2359" i="33"/>
  <c r="U2358" i="33"/>
  <c r="B2358" i="33"/>
  <c r="U2357" i="33"/>
  <c r="B2357" i="33"/>
  <c r="U2356" i="33"/>
  <c r="K2350" i="33"/>
  <c r="J2351" i="33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K2348" i="33"/>
  <c r="J2348" i="33"/>
  <c r="I2348" i="33"/>
  <c r="B2348" i="33"/>
  <c r="U2347" i="33"/>
  <c r="K2347" i="33"/>
  <c r="J2343" i="33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K2341" i="33"/>
  <c r="J2341" i="33"/>
  <c r="I2341" i="33"/>
  <c r="B2341" i="33"/>
  <c r="U2340" i="33"/>
  <c r="B2340" i="33"/>
  <c r="U2339" i="33"/>
  <c r="B2339" i="33"/>
  <c r="U2338" i="33"/>
  <c r="B2338" i="33"/>
  <c r="U2337" i="33"/>
  <c r="K2337" i="33"/>
  <c r="J2337" i="33"/>
  <c r="I2337" i="33"/>
  <c r="B2337" i="33"/>
  <c r="U2336" i="33"/>
  <c r="K2333" i="33"/>
  <c r="J2330" i="33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K2327" i="33"/>
  <c r="J2325" i="33"/>
  <c r="B2328" i="33"/>
  <c r="U2327" i="33"/>
  <c r="B2327" i="33"/>
  <c r="U2326" i="33"/>
  <c r="B2326" i="33"/>
  <c r="U2325" i="33"/>
  <c r="B2325" i="33"/>
  <c r="U2324" i="33"/>
  <c r="B2324" i="33"/>
  <c r="U2323" i="33"/>
  <c r="K2320" i="33"/>
  <c r="J2323" i="33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K2316" i="33"/>
  <c r="J2314" i="33"/>
  <c r="I2315" i="33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K2309" i="33"/>
  <c r="J2308" i="33"/>
  <c r="B2310" i="33"/>
  <c r="U2309" i="33"/>
  <c r="B2309" i="33"/>
  <c r="U2308" i="33"/>
  <c r="B2308" i="33"/>
  <c r="U2307" i="33"/>
  <c r="B2307" i="33"/>
  <c r="U2306" i="33"/>
  <c r="K2306" i="33"/>
  <c r="J2306" i="33"/>
  <c r="I2306" i="33"/>
  <c r="B2306" i="33"/>
  <c r="U2305" i="33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J2292" i="33"/>
  <c r="I2295" i="33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I2289" i="33"/>
  <c r="B2290" i="33"/>
  <c r="U2289" i="33"/>
  <c r="B2289" i="33"/>
  <c r="U2288" i="33"/>
  <c r="J1874" i="33"/>
  <c r="I1874" i="33"/>
  <c r="B2288" i="33"/>
  <c r="U2287" i="33"/>
  <c r="B2287" i="33"/>
  <c r="U2286" i="33"/>
  <c r="K2285" i="33"/>
  <c r="J2284" i="33"/>
  <c r="B2286" i="33"/>
  <c r="U2285" i="33"/>
  <c r="B2285" i="33"/>
  <c r="U2284" i="33"/>
  <c r="B2284" i="33"/>
  <c r="U2283" i="33"/>
  <c r="K2282" i="33"/>
  <c r="J2278" i="33"/>
  <c r="I2276" i="33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K2272" i="33"/>
  <c r="J2269" i="33"/>
  <c r="B2272" i="33"/>
  <c r="U2271" i="33"/>
  <c r="B2271" i="33"/>
  <c r="U2270" i="33"/>
  <c r="B2270" i="33"/>
  <c r="U2269" i="33"/>
  <c r="B2269" i="33"/>
  <c r="U2268" i="33"/>
  <c r="B2268" i="33"/>
  <c r="U2267" i="33"/>
  <c r="K2267" i="33"/>
  <c r="J2267" i="33"/>
  <c r="I2267" i="33"/>
  <c r="B2267" i="33"/>
  <c r="U2266" i="33"/>
  <c r="B2266" i="33"/>
  <c r="U2265" i="33"/>
  <c r="B2265" i="33"/>
  <c r="U2264" i="33"/>
  <c r="J2263" i="33"/>
  <c r="B2264" i="33"/>
  <c r="U2263" i="33"/>
  <c r="B2263" i="33"/>
  <c r="U2262" i="33"/>
  <c r="B2262" i="33"/>
  <c r="U2261" i="33"/>
  <c r="B2261" i="33"/>
  <c r="U2260" i="33"/>
  <c r="K2258" i="33"/>
  <c r="J2260" i="33"/>
  <c r="B2260" i="33"/>
  <c r="U2259" i="33"/>
  <c r="B2259" i="33"/>
  <c r="U2258" i="33"/>
  <c r="B2258" i="33"/>
  <c r="U2257" i="33"/>
  <c r="K2255" i="33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K2238" i="33"/>
  <c r="J2240" i="33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K2232" i="33"/>
  <c r="J2232" i="33"/>
  <c r="I2231" i="33"/>
  <c r="B2235" i="33"/>
  <c r="U2234" i="33"/>
  <c r="B2234" i="33"/>
  <c r="U2233" i="33"/>
  <c r="B2233" i="33"/>
  <c r="U2232" i="33"/>
  <c r="B2232" i="33"/>
  <c r="U2231" i="33"/>
  <c r="B2231" i="33"/>
  <c r="U2230" i="33"/>
  <c r="K2230" i="33"/>
  <c r="J2228" i="33"/>
  <c r="B2230" i="33"/>
  <c r="U2229" i="33"/>
  <c r="B2229" i="33"/>
  <c r="U2228" i="33"/>
  <c r="B2228" i="33"/>
  <c r="U2227" i="33"/>
  <c r="B2227" i="33"/>
  <c r="U2226" i="33"/>
  <c r="B2226" i="33"/>
  <c r="U2225" i="33"/>
  <c r="B2225" i="33"/>
  <c r="U2224" i="33"/>
  <c r="B2224" i="33"/>
  <c r="U2223" i="33"/>
  <c r="J2222" i="33"/>
  <c r="I2222" i="33"/>
  <c r="B2223" i="33"/>
  <c r="U2222" i="33"/>
  <c r="B2222" i="33"/>
  <c r="U2221" i="33"/>
  <c r="B2221" i="33"/>
  <c r="U2220" i="33"/>
  <c r="K2219" i="33"/>
  <c r="J2219" i="33"/>
  <c r="I2217" i="33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K2214" i="33"/>
  <c r="J2214" i="33"/>
  <c r="I2214" i="33"/>
  <c r="B2214" i="33"/>
  <c r="U2213" i="33"/>
  <c r="J2212" i="33"/>
  <c r="I2210" i="33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K2206" i="33"/>
  <c r="J2206" i="33"/>
  <c r="I2206" i="33"/>
  <c r="B2206" i="33"/>
  <c r="U2205" i="33"/>
  <c r="I2203" i="33"/>
  <c r="B2205" i="33"/>
  <c r="U2204" i="33"/>
  <c r="B2204" i="33"/>
  <c r="U2203" i="33"/>
  <c r="B2203" i="33"/>
  <c r="U2202" i="33"/>
  <c r="B2202" i="33"/>
  <c r="U2201" i="33"/>
  <c r="B2201" i="33"/>
  <c r="U2200" i="33"/>
  <c r="J2200" i="33"/>
  <c r="I2200" i="33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J2193" i="33"/>
  <c r="I2194" i="33"/>
  <c r="B2194" i="33"/>
  <c r="U2193" i="33"/>
  <c r="B2193" i="33"/>
  <c r="U2192" i="33"/>
  <c r="B2192" i="33"/>
  <c r="U2191" i="33"/>
  <c r="K2191" i="33"/>
  <c r="J2191" i="33"/>
  <c r="I2191" i="33"/>
  <c r="B2191" i="33"/>
  <c r="U2190" i="33"/>
  <c r="K2188" i="33"/>
  <c r="J2188" i="33"/>
  <c r="B2190" i="33"/>
  <c r="U2189" i="33"/>
  <c r="B2189" i="33"/>
  <c r="U2188" i="33"/>
  <c r="B2188" i="33"/>
  <c r="U2187" i="33"/>
  <c r="K2187" i="33"/>
  <c r="J2187" i="33"/>
  <c r="I2187" i="33"/>
  <c r="B2187" i="33"/>
  <c r="U2186" i="33"/>
  <c r="B2186" i="33"/>
  <c r="U2185" i="33"/>
  <c r="K2184" i="33"/>
  <c r="I2183" i="33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K2177" i="33"/>
  <c r="B2179" i="33"/>
  <c r="U2178" i="33"/>
  <c r="B2178" i="33"/>
  <c r="U2177" i="33"/>
  <c r="B2177" i="33"/>
  <c r="U2176" i="33"/>
  <c r="K2173" i="33"/>
  <c r="J2173" i="33"/>
  <c r="I2173" i="33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K2165" i="33"/>
  <c r="I2166" i="33"/>
  <c r="B2166" i="33"/>
  <c r="U2165" i="33"/>
  <c r="B2165" i="33"/>
  <c r="U2164" i="33"/>
  <c r="J2164" i="33"/>
  <c r="I2163" i="33"/>
  <c r="B2164" i="33"/>
  <c r="U2163" i="33"/>
  <c r="B2163" i="33"/>
  <c r="U2162" i="33"/>
  <c r="K2162" i="33"/>
  <c r="J2162" i="33"/>
  <c r="I2162" i="33"/>
  <c r="B2162" i="33"/>
  <c r="U2161" i="33"/>
  <c r="J2161" i="33"/>
  <c r="I2158" i="33"/>
  <c r="B2161" i="33"/>
  <c r="U2160" i="33"/>
  <c r="B2160" i="33"/>
  <c r="U2159" i="33"/>
  <c r="B2159" i="33"/>
  <c r="U2158" i="33"/>
  <c r="B2158" i="33"/>
  <c r="U2157" i="33"/>
  <c r="B2157" i="33"/>
  <c r="U2156" i="33"/>
  <c r="J2156" i="33"/>
  <c r="I2156" i="33"/>
  <c r="B2156" i="33"/>
  <c r="U2155" i="33"/>
  <c r="B2155" i="33"/>
  <c r="U2154" i="33"/>
  <c r="J2154" i="33"/>
  <c r="B2154" i="33"/>
  <c r="U2153" i="33"/>
  <c r="B2153" i="33"/>
  <c r="U2152" i="33"/>
  <c r="I2152" i="33"/>
  <c r="B2152" i="33"/>
  <c r="U2151" i="33"/>
  <c r="B2151" i="33"/>
  <c r="U2150" i="33"/>
  <c r="K2149" i="33"/>
  <c r="J2149" i="33"/>
  <c r="I2149" i="33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K2142" i="33"/>
  <c r="J2142" i="33"/>
  <c r="I2140" i="33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K2136" i="33"/>
  <c r="J2133" i="33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K2128" i="33"/>
  <c r="B2129" i="33"/>
  <c r="U2128" i="33"/>
  <c r="B2128" i="33"/>
  <c r="U2127" i="33"/>
  <c r="B2127" i="33"/>
  <c r="U2126" i="33"/>
  <c r="B2126" i="33"/>
  <c r="U2125" i="33"/>
  <c r="B2125" i="33"/>
  <c r="U2124" i="33"/>
  <c r="B2124" i="33"/>
  <c r="U2123" i="33"/>
  <c r="K2120" i="33"/>
  <c r="J2121" i="33"/>
  <c r="B2123" i="33"/>
  <c r="U2122" i="33"/>
  <c r="B2122" i="33"/>
  <c r="U2121" i="33"/>
  <c r="B2121" i="33"/>
  <c r="U2120" i="33"/>
  <c r="B2120" i="33"/>
  <c r="U2119" i="33"/>
  <c r="B2119" i="33"/>
  <c r="U2118" i="33"/>
  <c r="K2118" i="33"/>
  <c r="I2117" i="33"/>
  <c r="B2118" i="33"/>
  <c r="U2117" i="33"/>
  <c r="B2117" i="33"/>
  <c r="U2116" i="33"/>
  <c r="I2112" i="33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J2103" i="33"/>
  <c r="I2102" i="33"/>
  <c r="B2103" i="33"/>
  <c r="U2102" i="33"/>
  <c r="B2102" i="33"/>
  <c r="U2101" i="33"/>
  <c r="B2101" i="33"/>
  <c r="U2100" i="33"/>
  <c r="B2100" i="33"/>
  <c r="U2099" i="33"/>
  <c r="K2099" i="33"/>
  <c r="J2099" i="33"/>
  <c r="I2099" i="33"/>
  <c r="B2099" i="33"/>
  <c r="U2098" i="33"/>
  <c r="K2096" i="33"/>
  <c r="J2098" i="33"/>
  <c r="I2097" i="33"/>
  <c r="B2098" i="33"/>
  <c r="U2097" i="33"/>
  <c r="B2097" i="33"/>
  <c r="U2096" i="33"/>
  <c r="B2096" i="33"/>
  <c r="U2095" i="33"/>
  <c r="K2095" i="33"/>
  <c r="J2095" i="33"/>
  <c r="I2095" i="33"/>
  <c r="B2095" i="33"/>
  <c r="U2094" i="33"/>
  <c r="J2090" i="33"/>
  <c r="I2093" i="33"/>
  <c r="B2094" i="33"/>
  <c r="U2093" i="33"/>
  <c r="B2093" i="33"/>
  <c r="U2092" i="33"/>
  <c r="B2092" i="33"/>
  <c r="U2091" i="33"/>
  <c r="B2091" i="33"/>
  <c r="U2090" i="33"/>
  <c r="B2090" i="33"/>
  <c r="U2089" i="33"/>
  <c r="I2087" i="33"/>
  <c r="B2089" i="33"/>
  <c r="U2088" i="33"/>
  <c r="B2088" i="33"/>
  <c r="U2087" i="33"/>
  <c r="B2087" i="33"/>
  <c r="U2086" i="33"/>
  <c r="B2086" i="33"/>
  <c r="U2085" i="33"/>
  <c r="K2085" i="33"/>
  <c r="J2085" i="33"/>
  <c r="I2085" i="33"/>
  <c r="B2085" i="33"/>
  <c r="U2084" i="33"/>
  <c r="B2084" i="33"/>
  <c r="U2083" i="33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K2072" i="33"/>
  <c r="J2072" i="33"/>
  <c r="B2073" i="33"/>
  <c r="U2072" i="33"/>
  <c r="B2072" i="33"/>
  <c r="U2071" i="33"/>
  <c r="B2071" i="33"/>
  <c r="U2070" i="33"/>
  <c r="B2070" i="33"/>
  <c r="U2069" i="33"/>
  <c r="K2069" i="33"/>
  <c r="J2069" i="33"/>
  <c r="I2069" i="33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K2061" i="33"/>
  <c r="J2061" i="33"/>
  <c r="I2061" i="33"/>
  <c r="B2061" i="33"/>
  <c r="U2060" i="33"/>
  <c r="K2060" i="33"/>
  <c r="I2059" i="33"/>
  <c r="B2060" i="33"/>
  <c r="U2059" i="33"/>
  <c r="B2059" i="33"/>
  <c r="U2058" i="33"/>
  <c r="B2058" i="33"/>
  <c r="U2057" i="33"/>
  <c r="B2057" i="33"/>
  <c r="U2056" i="33"/>
  <c r="K2056" i="33"/>
  <c r="J2056" i="33"/>
  <c r="B2056" i="33"/>
  <c r="U2055" i="33"/>
  <c r="B2055" i="33"/>
  <c r="U2054" i="33"/>
  <c r="B2054" i="33"/>
  <c r="U2053" i="33"/>
  <c r="B2053" i="33"/>
  <c r="U2052" i="33"/>
  <c r="B2052" i="33"/>
  <c r="U2051" i="33"/>
  <c r="J2050" i="33"/>
  <c r="I2050" i="33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J2037" i="33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K2031" i="33"/>
  <c r="J2030" i="33"/>
  <c r="I2030" i="33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K2023" i="33"/>
  <c r="J2023" i="33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K2018" i="33"/>
  <c r="J2017" i="33"/>
  <c r="I2016" i="33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K2008" i="33"/>
  <c r="J2008" i="33"/>
  <c r="I2008" i="33"/>
  <c r="B2008" i="33"/>
  <c r="U2007" i="33"/>
  <c r="B2007" i="33"/>
  <c r="U2006" i="33"/>
  <c r="K2006" i="33"/>
  <c r="J2006" i="33"/>
  <c r="B2006" i="33"/>
  <c r="U2005" i="33"/>
  <c r="B2005" i="33"/>
  <c r="U2004" i="33"/>
  <c r="B2004" i="33"/>
  <c r="U2003" i="33"/>
  <c r="K2002" i="33"/>
  <c r="I2002" i="33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K1995" i="33"/>
  <c r="J1995" i="33"/>
  <c r="I1995" i="33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K1988" i="33"/>
  <c r="J1987" i="33"/>
  <c r="I1986" i="33"/>
  <c r="B1988" i="33"/>
  <c r="U1987" i="33"/>
  <c r="B1987" i="33"/>
  <c r="U1986" i="33"/>
  <c r="B1986" i="33"/>
  <c r="U1985" i="33"/>
  <c r="B1985" i="33"/>
  <c r="U1984" i="33"/>
  <c r="J1983" i="33"/>
  <c r="B1984" i="33"/>
  <c r="U1983" i="33"/>
  <c r="B1983" i="33"/>
  <c r="U1982" i="33"/>
  <c r="B1982" i="33"/>
  <c r="U1981" i="33"/>
  <c r="J1981" i="33"/>
  <c r="I1980" i="33"/>
  <c r="B1981" i="33"/>
  <c r="U1980" i="33"/>
  <c r="B1980" i="33"/>
  <c r="U1979" i="33"/>
  <c r="B1979" i="33"/>
  <c r="U1978" i="33"/>
  <c r="I1978" i="33"/>
  <c r="B1978" i="33"/>
  <c r="U1977" i="33"/>
  <c r="B1977" i="33"/>
  <c r="U1976" i="33"/>
  <c r="B1976" i="33"/>
  <c r="U1975" i="33"/>
  <c r="B1975" i="33"/>
  <c r="U1974" i="33"/>
  <c r="B1974" i="33"/>
  <c r="U1973" i="33"/>
  <c r="I1972" i="33"/>
  <c r="B1973" i="33"/>
  <c r="U1972" i="33"/>
  <c r="B1972" i="33"/>
  <c r="U1971" i="33"/>
  <c r="B1971" i="33"/>
  <c r="U1970" i="33"/>
  <c r="B1970" i="33"/>
  <c r="U1969" i="33"/>
  <c r="B1969" i="33"/>
  <c r="U1968" i="33"/>
  <c r="K1964" i="33"/>
  <c r="I1966" i="33"/>
  <c r="B1968" i="33"/>
  <c r="U1967" i="33"/>
  <c r="B1967" i="33"/>
  <c r="U1966" i="33"/>
  <c r="B1966" i="33"/>
  <c r="U1965" i="33"/>
  <c r="B1965" i="33"/>
  <c r="U1964" i="33"/>
  <c r="B1964" i="33"/>
  <c r="U1963" i="33"/>
  <c r="K1963" i="33"/>
  <c r="J1963" i="33"/>
  <c r="I1963" i="33"/>
  <c r="B1963" i="33"/>
  <c r="U1962" i="33"/>
  <c r="I1962" i="33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K1949" i="33"/>
  <c r="J1949" i="33"/>
  <c r="I1947" i="33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K1941" i="33"/>
  <c r="J1939" i="33"/>
  <c r="I1941" i="33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K1931" i="33"/>
  <c r="J1931" i="33"/>
  <c r="I1931" i="33"/>
  <c r="B1931" i="33"/>
  <c r="U1930" i="33"/>
  <c r="K1930" i="33"/>
  <c r="J1929" i="33"/>
  <c r="I1929" i="33"/>
  <c r="B1930" i="33"/>
  <c r="U1929" i="33"/>
  <c r="B1929" i="33"/>
  <c r="U1928" i="33"/>
  <c r="J1927" i="33"/>
  <c r="I1927" i="33"/>
  <c r="B1928" i="33"/>
  <c r="U1927" i="33"/>
  <c r="B1927" i="33"/>
  <c r="U1926" i="33"/>
  <c r="B1926" i="33"/>
  <c r="U1925" i="33"/>
  <c r="B1925" i="33"/>
  <c r="U1924" i="33"/>
  <c r="B1924" i="33"/>
  <c r="U1923" i="33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K1915" i="33"/>
  <c r="J1915" i="33"/>
  <c r="I1915" i="33"/>
  <c r="B1915" i="33"/>
  <c r="U1914" i="33"/>
  <c r="K1912" i="33"/>
  <c r="J1914" i="33"/>
  <c r="I1913" i="33"/>
  <c r="B1914" i="33"/>
  <c r="U1913" i="33"/>
  <c r="B1913" i="33"/>
  <c r="U1912" i="33"/>
  <c r="B1912" i="33"/>
  <c r="U1911" i="33"/>
  <c r="B1911" i="33"/>
  <c r="U1910" i="33"/>
  <c r="J1909" i="33"/>
  <c r="I1909" i="33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K1899" i="33"/>
  <c r="J1899" i="33"/>
  <c r="I1899" i="33"/>
  <c r="B1899" i="33"/>
  <c r="U1898" i="33"/>
  <c r="B1898" i="33"/>
  <c r="U1897" i="33"/>
  <c r="J1895" i="33"/>
  <c r="I1896" i="33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J1884" i="33"/>
  <c r="B1884" i="33"/>
  <c r="U1883" i="33"/>
  <c r="B1883" i="33"/>
  <c r="U1882" i="33"/>
  <c r="B1882" i="33"/>
  <c r="U1881" i="33"/>
  <c r="B1881" i="33"/>
  <c r="U1880" i="33"/>
  <c r="K1880" i="33"/>
  <c r="J1880" i="33"/>
  <c r="I1879" i="33"/>
  <c r="B1880" i="33"/>
  <c r="U1879" i="33"/>
  <c r="B1879" i="33"/>
  <c r="U1878" i="33"/>
  <c r="I1878" i="33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K1869" i="33"/>
  <c r="J1869" i="33"/>
  <c r="I1869" i="33"/>
  <c r="B1869" i="33"/>
  <c r="U1868" i="33"/>
  <c r="B1868" i="33"/>
  <c r="U1867" i="33"/>
  <c r="B1867" i="33"/>
  <c r="U1866" i="33"/>
  <c r="K1865" i="33"/>
  <c r="I1866" i="33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J1855" i="33"/>
  <c r="I1857" i="33"/>
  <c r="B1857" i="33"/>
  <c r="U1856" i="33"/>
  <c r="B1856" i="33"/>
  <c r="U1855" i="33"/>
  <c r="B1855" i="33"/>
  <c r="U1854" i="33"/>
  <c r="K1854" i="33"/>
  <c r="J1854" i="33"/>
  <c r="B1854" i="33"/>
  <c r="U1853" i="33"/>
  <c r="B1853" i="33"/>
  <c r="U1852" i="33"/>
  <c r="B1852" i="33"/>
  <c r="U1851" i="33"/>
  <c r="B1851" i="33"/>
  <c r="U1850" i="33"/>
  <c r="K1850" i="33"/>
  <c r="J1850" i="33"/>
  <c r="I1850" i="33"/>
  <c r="B1850" i="33"/>
  <c r="U1849" i="33"/>
  <c r="B1849" i="33"/>
  <c r="U1848" i="33"/>
  <c r="K1846" i="33"/>
  <c r="B1848" i="33"/>
  <c r="U1847" i="33"/>
  <c r="B1847" i="33"/>
  <c r="U1846" i="33"/>
  <c r="B1846" i="33"/>
  <c r="U1845" i="33"/>
  <c r="K1844" i="33"/>
  <c r="I1843" i="33"/>
  <c r="B1845" i="33"/>
  <c r="U1844" i="33"/>
  <c r="B1844" i="33"/>
  <c r="U1843" i="33"/>
  <c r="B1843" i="33"/>
  <c r="U1842" i="33"/>
  <c r="K1842" i="33"/>
  <c r="J1842" i="33"/>
  <c r="I1842" i="33"/>
  <c r="B1842" i="33"/>
  <c r="U1841" i="33"/>
  <c r="K1840" i="33"/>
  <c r="J1840" i="33"/>
  <c r="B1841" i="33"/>
  <c r="U1840" i="33"/>
  <c r="B1840" i="33"/>
  <c r="U1839" i="33"/>
  <c r="B1839" i="33"/>
  <c r="U1838" i="33"/>
  <c r="K1838" i="33"/>
  <c r="J1838" i="33"/>
  <c r="I1838" i="33"/>
  <c r="B1838" i="33"/>
  <c r="U1837" i="33"/>
  <c r="K1836" i="33"/>
  <c r="J1837" i="33"/>
  <c r="I1835" i="33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K1825" i="33"/>
  <c r="I1826" i="33"/>
  <c r="B1827" i="33"/>
  <c r="U1826" i="33"/>
  <c r="B1826" i="33"/>
  <c r="U1825" i="33"/>
  <c r="B1825" i="33"/>
  <c r="U1824" i="33"/>
  <c r="K1824" i="33"/>
  <c r="J1824" i="33"/>
  <c r="I1824" i="33"/>
  <c r="B1824" i="33"/>
  <c r="U1823" i="33"/>
  <c r="K1821" i="33"/>
  <c r="J1821" i="33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I1812" i="33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K1800" i="33"/>
  <c r="J1800" i="33"/>
  <c r="I1800" i="33"/>
  <c r="B1800" i="33"/>
  <c r="U1799" i="33"/>
  <c r="B1799" i="33"/>
  <c r="U1798" i="33"/>
  <c r="K1797" i="33"/>
  <c r="I1798" i="33"/>
  <c r="B1798" i="33"/>
  <c r="U1797" i="33"/>
  <c r="B1797" i="33"/>
  <c r="U1796" i="33"/>
  <c r="B1796" i="33"/>
  <c r="U1795" i="33"/>
  <c r="K1793" i="33"/>
  <c r="J1794" i="33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K1786" i="33"/>
  <c r="J1788" i="33"/>
  <c r="I1786" i="33"/>
  <c r="B1788" i="33"/>
  <c r="U1787" i="33"/>
  <c r="B1787" i="33"/>
  <c r="U1786" i="33"/>
  <c r="B1786" i="33"/>
  <c r="U1785" i="33"/>
  <c r="K1785" i="33"/>
  <c r="J1785" i="33"/>
  <c r="I1785" i="33"/>
  <c r="B1785" i="33"/>
  <c r="U1784" i="33"/>
  <c r="J1784" i="33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J1776" i="33"/>
  <c r="I1775" i="33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I1766" i="33"/>
  <c r="B1767" i="33"/>
  <c r="U1766" i="33"/>
  <c r="B1766" i="33"/>
  <c r="U1765" i="33"/>
  <c r="B1765" i="33"/>
  <c r="U1764" i="33"/>
  <c r="K1764" i="33"/>
  <c r="J1764" i="33"/>
  <c r="I1764" i="33"/>
  <c r="B1764" i="33"/>
  <c r="U1763" i="33"/>
  <c r="B1763" i="33"/>
  <c r="U1762" i="33"/>
  <c r="B1762" i="33"/>
  <c r="U1761" i="33"/>
  <c r="B1761" i="33"/>
  <c r="U1760" i="33"/>
  <c r="B1760" i="33"/>
  <c r="U1759" i="33"/>
  <c r="K1758" i="33"/>
  <c r="J1759" i="33"/>
  <c r="I1759" i="33"/>
  <c r="B1759" i="33"/>
  <c r="U1758" i="33"/>
  <c r="B1758" i="33"/>
  <c r="U1757" i="33"/>
  <c r="K1756" i="33"/>
  <c r="B1757" i="33"/>
  <c r="U1756" i="33"/>
  <c r="B1756" i="33"/>
  <c r="U1755" i="33"/>
  <c r="B1755" i="33"/>
  <c r="U1754" i="33"/>
  <c r="B1754" i="33"/>
  <c r="U1753" i="33"/>
  <c r="K1753" i="33"/>
  <c r="J1753" i="33"/>
  <c r="I1753" i="33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K1738" i="33"/>
  <c r="J1740" i="33"/>
  <c r="B1740" i="33"/>
  <c r="U1739" i="33"/>
  <c r="B1739" i="33"/>
  <c r="U1738" i="33"/>
  <c r="B1738" i="33"/>
  <c r="U1737" i="33"/>
  <c r="K1734" i="33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K1731" i="33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K1721" i="33"/>
  <c r="I1721" i="33"/>
  <c r="B1723" i="33"/>
  <c r="U1722" i="33"/>
  <c r="B1722" i="33"/>
  <c r="U1721" i="33"/>
  <c r="B1721" i="33"/>
  <c r="U1720" i="33"/>
  <c r="B1720" i="33"/>
  <c r="U1719" i="33"/>
  <c r="B1719" i="33"/>
  <c r="U1718" i="33"/>
  <c r="B1718" i="33"/>
  <c r="U1717" i="33"/>
  <c r="B1717" i="33"/>
  <c r="U1716" i="33"/>
  <c r="K1714" i="33"/>
  <c r="J1712" i="33"/>
  <c r="I1714" i="33"/>
  <c r="B1716" i="33"/>
  <c r="U1715" i="33"/>
  <c r="B1715" i="33"/>
  <c r="U1714" i="33"/>
  <c r="B1714" i="33"/>
  <c r="U1713" i="33"/>
  <c r="B1713" i="33"/>
  <c r="U1712" i="33"/>
  <c r="B1712" i="33"/>
  <c r="U1711" i="33"/>
  <c r="J1710" i="33"/>
  <c r="B1711" i="33"/>
  <c r="U1710" i="33"/>
  <c r="B1710" i="33"/>
  <c r="U1709" i="33"/>
  <c r="K1709" i="33"/>
  <c r="J1709" i="33"/>
  <c r="I1709" i="33"/>
  <c r="B1709" i="33"/>
  <c r="U1708" i="33"/>
  <c r="B1708" i="33"/>
  <c r="U1707" i="33"/>
  <c r="B1707" i="33"/>
  <c r="U1706" i="33"/>
  <c r="B1706" i="33"/>
  <c r="U1705" i="33"/>
  <c r="K1705" i="33"/>
  <c r="J1704" i="33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K1696" i="33"/>
  <c r="J1696" i="33"/>
  <c r="I1696" i="33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K1689" i="33"/>
  <c r="J1689" i="33"/>
  <c r="B1689" i="33"/>
  <c r="U1688" i="33"/>
  <c r="B1688" i="33"/>
  <c r="U1687" i="33"/>
  <c r="B1687" i="33"/>
  <c r="U1686" i="33"/>
  <c r="I1686" i="33"/>
  <c r="B1686" i="33"/>
  <c r="U1685" i="33"/>
  <c r="B1685" i="33"/>
  <c r="U1684" i="33"/>
  <c r="B1684" i="33"/>
  <c r="U1683" i="33"/>
  <c r="K1683" i="33"/>
  <c r="J1683" i="33"/>
  <c r="I1683" i="33"/>
  <c r="B1683" i="33"/>
  <c r="U1682" i="33"/>
  <c r="K1681" i="33"/>
  <c r="J1678" i="33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K1670" i="33"/>
  <c r="B1672" i="33"/>
  <c r="U1671" i="33"/>
  <c r="B1671" i="33"/>
  <c r="U1670" i="33"/>
  <c r="B1670" i="33"/>
  <c r="U1669" i="33"/>
  <c r="B1669" i="33"/>
  <c r="U1668" i="33"/>
  <c r="B1668" i="33"/>
  <c r="U1667" i="33"/>
  <c r="K1667" i="33"/>
  <c r="I1666" i="33"/>
  <c r="B1667" i="33"/>
  <c r="U1666" i="33"/>
  <c r="B1666" i="33"/>
  <c r="U1665" i="33"/>
  <c r="B1665" i="33"/>
  <c r="U1664" i="33"/>
  <c r="B1664" i="33"/>
  <c r="U1663" i="33"/>
  <c r="I1661" i="33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K1656" i="33"/>
  <c r="J1656" i="33"/>
  <c r="I1656" i="33"/>
  <c r="B1656" i="33"/>
  <c r="U1655" i="33"/>
  <c r="K1655" i="33"/>
  <c r="I1655" i="33"/>
  <c r="B1655" i="33"/>
  <c r="U1654" i="33"/>
  <c r="B1654" i="33"/>
  <c r="U1653" i="33"/>
  <c r="B1653" i="33"/>
  <c r="U1652" i="33"/>
  <c r="B1652" i="33"/>
  <c r="U1651" i="33"/>
  <c r="B1651" i="33"/>
  <c r="U1650" i="33"/>
  <c r="J1646" i="33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K1639" i="33"/>
  <c r="J1639" i="33"/>
  <c r="I1639" i="33"/>
  <c r="B1639" i="33"/>
  <c r="U1638" i="33"/>
  <c r="B1638" i="33"/>
  <c r="U1637" i="33"/>
  <c r="B1637" i="33"/>
  <c r="U1636" i="33"/>
  <c r="B1636" i="33"/>
  <c r="U1635" i="33"/>
  <c r="K1633" i="33"/>
  <c r="J1633" i="33"/>
  <c r="B1635" i="33"/>
  <c r="U1634" i="33"/>
  <c r="B1634" i="33"/>
  <c r="U1633" i="33"/>
  <c r="B1633" i="33"/>
  <c r="U1632" i="33"/>
  <c r="J1632" i="33"/>
  <c r="I1631" i="33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J1625" i="33"/>
  <c r="I1624" i="33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K1611" i="33"/>
  <c r="J1611" i="33"/>
  <c r="B1611" i="33"/>
  <c r="U1610" i="33"/>
  <c r="B1610" i="33"/>
  <c r="U1609" i="33"/>
  <c r="K1609" i="33"/>
  <c r="J1609" i="33"/>
  <c r="B1609" i="33"/>
  <c r="U1608" i="33"/>
  <c r="B1608" i="33"/>
  <c r="U1607" i="33"/>
  <c r="J1607" i="33"/>
  <c r="I1605" i="33"/>
  <c r="B1607" i="33"/>
  <c r="U1606" i="33"/>
  <c r="B1606" i="33"/>
  <c r="U1605" i="33"/>
  <c r="B1605" i="33"/>
  <c r="U1604" i="33"/>
  <c r="K1604" i="33"/>
  <c r="J1603" i="33"/>
  <c r="I1603" i="33"/>
  <c r="B1604" i="33"/>
  <c r="U1603" i="33"/>
  <c r="B1603" i="33"/>
  <c r="U1602" i="33"/>
  <c r="B1602" i="33"/>
  <c r="U1601" i="33"/>
  <c r="K1600" i="33"/>
  <c r="J1601" i="33"/>
  <c r="I1599" i="33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K1591" i="33"/>
  <c r="J1591" i="33"/>
  <c r="B1592" i="33"/>
  <c r="U1591" i="33"/>
  <c r="B1591" i="33"/>
  <c r="U1590" i="33"/>
  <c r="B1590" i="33"/>
  <c r="U1589" i="33"/>
  <c r="B1589" i="33"/>
  <c r="U1588" i="33"/>
  <c r="K1586" i="33"/>
  <c r="J1588" i="33"/>
  <c r="I1587" i="33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K1577" i="33"/>
  <c r="J1578" i="33"/>
  <c r="B1579" i="33"/>
  <c r="U1578" i="33"/>
  <c r="B1578" i="33"/>
  <c r="U1577" i="33"/>
  <c r="B1577" i="33"/>
  <c r="U1576" i="33"/>
  <c r="J1576" i="33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K1189" i="33"/>
  <c r="J1188" i="33"/>
  <c r="I1190" i="33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K1551" i="33"/>
  <c r="J1552" i="33"/>
  <c r="I1551" i="33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K1547" i="33"/>
  <c r="J1547" i="33"/>
  <c r="I1547" i="33"/>
  <c r="B1547" i="33"/>
  <c r="U1546" i="33"/>
  <c r="K1543" i="33"/>
  <c r="I1545" i="33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K1539" i="33"/>
  <c r="B1540" i="33"/>
  <c r="U1539" i="33"/>
  <c r="B1539" i="33"/>
  <c r="U1538" i="33"/>
  <c r="B1538" i="33"/>
  <c r="U1537" i="33"/>
  <c r="J1534" i="33"/>
  <c r="I1532" i="33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K1515" i="33"/>
  <c r="J1515" i="33"/>
  <c r="I1515" i="33"/>
  <c r="B1515" i="33"/>
  <c r="U1514" i="33"/>
  <c r="K1514" i="33"/>
  <c r="J1514" i="33"/>
  <c r="I1514" i="33"/>
  <c r="B1514" i="33"/>
  <c r="U1513" i="33"/>
  <c r="B1513" i="33"/>
  <c r="U1512" i="33"/>
  <c r="B1512" i="33"/>
  <c r="U1511" i="33"/>
  <c r="B1511" i="33"/>
  <c r="U1510" i="33"/>
  <c r="K1508" i="33"/>
  <c r="J1508" i="33"/>
  <c r="I1509" i="33"/>
  <c r="B1510" i="33"/>
  <c r="U1509" i="33"/>
  <c r="B1509" i="33"/>
  <c r="U1508" i="33"/>
  <c r="B1508" i="33"/>
  <c r="U1507" i="33"/>
  <c r="B1507" i="33"/>
  <c r="U1506" i="33"/>
  <c r="B1506" i="33"/>
  <c r="U1505" i="33"/>
  <c r="J1505" i="33"/>
  <c r="I1504" i="33"/>
  <c r="B1505" i="33"/>
  <c r="U1504" i="33"/>
  <c r="B1504" i="33"/>
  <c r="U1503" i="33"/>
  <c r="B1503" i="33"/>
  <c r="U1502" i="33"/>
  <c r="J1502" i="33"/>
  <c r="I1502" i="33"/>
  <c r="B1502" i="33"/>
  <c r="U1501" i="33"/>
  <c r="B1501" i="33"/>
  <c r="U1500" i="33"/>
  <c r="K1499" i="33"/>
  <c r="I1500" i="33"/>
  <c r="B1500" i="33"/>
  <c r="U1499" i="33"/>
  <c r="B1499" i="33"/>
  <c r="U1498" i="33"/>
  <c r="B1498" i="33"/>
  <c r="U1497" i="33"/>
  <c r="B1497" i="33"/>
  <c r="U1496" i="33"/>
  <c r="B1496" i="33"/>
  <c r="U1495" i="33"/>
  <c r="K1495" i="33"/>
  <c r="J1494" i="33"/>
  <c r="I1494" i="33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K1470" i="33"/>
  <c r="J1471" i="33"/>
  <c r="I1469" i="33"/>
  <c r="B1472" i="33"/>
  <c r="U1471" i="33"/>
  <c r="B1471" i="33"/>
  <c r="U1470" i="33"/>
  <c r="B1470" i="33"/>
  <c r="U1469" i="33"/>
  <c r="B1469" i="33"/>
  <c r="U1468" i="33"/>
  <c r="B1468" i="33"/>
  <c r="U1467" i="33"/>
  <c r="K1465" i="33"/>
  <c r="B1467" i="33"/>
  <c r="U1466" i="33"/>
  <c r="B1466" i="33"/>
  <c r="U1465" i="33"/>
  <c r="B1465" i="33"/>
  <c r="U1464" i="33"/>
  <c r="B1464" i="33"/>
  <c r="U1463" i="33"/>
  <c r="K1463" i="33"/>
  <c r="I1463" i="33"/>
  <c r="B1463" i="33"/>
  <c r="U1462" i="33"/>
  <c r="B1462" i="33"/>
  <c r="U1461" i="33"/>
  <c r="B1461" i="33"/>
  <c r="U1460" i="33"/>
  <c r="K1460" i="33"/>
  <c r="B1460" i="33"/>
  <c r="U1459" i="33"/>
  <c r="B1459" i="33"/>
  <c r="U1458" i="33"/>
  <c r="K1458" i="33"/>
  <c r="J1457" i="33"/>
  <c r="I1457" i="33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K1418" i="33"/>
  <c r="J1447" i="33"/>
  <c r="I1420" i="33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K1441" i="33"/>
  <c r="I1440" i="33"/>
  <c r="B1442" i="33"/>
  <c r="U1441" i="33"/>
  <c r="B1441" i="33"/>
  <c r="U1440" i="33"/>
  <c r="B1440" i="33"/>
  <c r="U1439" i="33"/>
  <c r="K1439" i="33"/>
  <c r="J1438" i="33"/>
  <c r="I1437" i="33"/>
  <c r="B1439" i="33"/>
  <c r="U1438" i="33"/>
  <c r="B1438" i="33"/>
  <c r="U1437" i="33"/>
  <c r="B1437" i="33"/>
  <c r="U1436" i="33"/>
  <c r="K1435" i="33"/>
  <c r="J1434" i="33"/>
  <c r="I1436" i="33"/>
  <c r="B1436" i="33"/>
  <c r="U1435" i="33"/>
  <c r="B1435" i="33"/>
  <c r="U1434" i="33"/>
  <c r="B1434" i="33"/>
  <c r="U1433" i="33"/>
  <c r="B1433" i="33"/>
  <c r="U1432" i="33"/>
  <c r="J1431" i="33"/>
  <c r="I1431" i="33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K1425" i="33"/>
  <c r="J1360" i="33"/>
  <c r="I1358" i="33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K1417" i="33"/>
  <c r="J1417" i="33"/>
  <c r="I1417" i="33"/>
  <c r="B1417" i="33"/>
  <c r="U1416" i="33"/>
  <c r="K1416" i="33"/>
  <c r="J1416" i="33"/>
  <c r="I1416" i="33"/>
  <c r="B1416" i="33"/>
  <c r="U1415" i="33"/>
  <c r="B1415" i="33"/>
  <c r="U1414" i="33"/>
  <c r="B1414" i="33"/>
  <c r="U1413" i="33"/>
  <c r="B1413" i="33"/>
  <c r="U1412" i="33"/>
  <c r="B1412" i="33"/>
  <c r="U1411" i="33"/>
  <c r="K1409" i="33"/>
  <c r="I1410" i="33"/>
  <c r="B1411" i="33"/>
  <c r="U1410" i="33"/>
  <c r="B1410" i="33"/>
  <c r="U1409" i="33"/>
  <c r="B1409" i="33"/>
  <c r="U1408" i="33"/>
  <c r="B1408" i="33"/>
  <c r="U1407" i="33"/>
  <c r="K1407" i="33"/>
  <c r="J1407" i="33"/>
  <c r="I1407" i="33"/>
  <c r="B1407" i="33"/>
  <c r="U1406" i="33"/>
  <c r="B1406" i="33"/>
  <c r="U1405" i="33"/>
  <c r="B1405" i="33"/>
  <c r="U1404" i="33"/>
  <c r="I1404" i="33"/>
  <c r="B1404" i="33"/>
  <c r="U1403" i="33"/>
  <c r="B1403" i="33"/>
  <c r="U1402" i="33"/>
  <c r="K1400" i="33"/>
  <c r="I1402" i="33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K1394" i="33"/>
  <c r="I1394" i="33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I1389" i="33"/>
  <c r="B1390" i="33"/>
  <c r="U1389" i="33"/>
  <c r="B1389" i="33"/>
  <c r="U1388" i="33"/>
  <c r="B1388" i="33"/>
  <c r="U1387" i="33"/>
  <c r="K1387" i="33"/>
  <c r="I1385" i="33"/>
  <c r="B1387" i="33"/>
  <c r="U1386" i="33"/>
  <c r="B1386" i="33"/>
  <c r="U1385" i="33"/>
  <c r="B1385" i="33"/>
  <c r="U1384" i="33"/>
  <c r="B1384" i="33"/>
  <c r="U1383" i="33"/>
  <c r="K1383" i="33"/>
  <c r="J1383" i="33"/>
  <c r="I1383" i="33"/>
  <c r="B1383" i="33"/>
  <c r="U1382" i="33"/>
  <c r="B1382" i="33"/>
  <c r="U1381" i="33"/>
  <c r="K1381" i="33"/>
  <c r="J1381" i="33"/>
  <c r="I1381" i="33"/>
  <c r="B1381" i="33"/>
  <c r="U1380" i="33"/>
  <c r="B1380" i="33"/>
  <c r="U1379" i="33"/>
  <c r="B1379" i="33"/>
  <c r="U1378" i="33"/>
  <c r="K1377" i="33"/>
  <c r="I1377" i="33"/>
  <c r="U1377" i="33"/>
  <c r="B1377" i="33"/>
  <c r="U1376" i="33"/>
  <c r="B1376" i="33"/>
  <c r="U1375" i="33"/>
  <c r="B1375" i="33"/>
  <c r="U1374" i="33"/>
  <c r="B1374" i="33"/>
  <c r="U1373" i="33"/>
  <c r="B1373" i="33"/>
  <c r="U1372" i="33"/>
  <c r="B1372" i="33"/>
  <c r="U1371" i="33"/>
  <c r="K1370" i="33"/>
  <c r="B1371" i="33"/>
  <c r="U1370" i="33"/>
  <c r="B1370" i="33"/>
  <c r="U1369" i="33"/>
  <c r="B1369" i="33"/>
  <c r="U1368" i="33"/>
  <c r="J1368" i="33"/>
  <c r="B1368" i="33"/>
  <c r="U1367" i="33"/>
  <c r="B1367" i="33"/>
  <c r="U1366" i="33"/>
  <c r="K1365" i="33"/>
  <c r="I1366" i="33"/>
  <c r="B1366" i="33"/>
  <c r="U1365" i="33"/>
  <c r="B1365" i="33"/>
  <c r="U1364" i="33"/>
  <c r="I1364" i="33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K1344" i="33"/>
  <c r="J1348" i="33"/>
  <c r="I1348" i="33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K1341" i="33"/>
  <c r="J1341" i="33"/>
  <c r="B1341" i="33"/>
  <c r="U1340" i="33"/>
  <c r="K1340" i="33"/>
  <c r="I1339" i="33"/>
  <c r="B1340" i="33"/>
  <c r="U1339" i="33"/>
  <c r="B1339" i="33"/>
  <c r="U1338" i="33"/>
  <c r="B1338" i="33"/>
  <c r="U1337" i="33"/>
  <c r="K1335" i="33"/>
  <c r="I1334" i="33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K1329" i="33"/>
  <c r="I1330" i="33"/>
  <c r="B1330" i="33"/>
  <c r="U1329" i="33"/>
  <c r="B1329" i="33"/>
  <c r="U1328" i="33"/>
  <c r="B1328" i="33"/>
  <c r="U1327" i="33"/>
  <c r="J1326" i="33"/>
  <c r="E1327" i="33"/>
  <c r="B1327" i="33"/>
  <c r="U1326" i="33"/>
  <c r="E1326" i="33"/>
  <c r="B1326" i="33"/>
  <c r="U1325" i="33"/>
  <c r="K1325" i="33"/>
  <c r="J1323" i="33"/>
  <c r="I1324" i="33"/>
  <c r="E1325" i="33"/>
  <c r="B1325" i="33"/>
  <c r="U1324" i="33"/>
  <c r="E1324" i="33"/>
  <c r="B1324" i="33"/>
  <c r="U1323" i="33"/>
  <c r="E1323" i="33"/>
  <c r="B1323" i="33"/>
  <c r="U1322" i="33"/>
  <c r="K1322" i="33"/>
  <c r="J1322" i="33"/>
  <c r="I1322" i="33"/>
  <c r="E1322" i="33"/>
  <c r="B1322" i="33"/>
  <c r="U1321" i="33"/>
  <c r="K1320" i="33"/>
  <c r="I1178" i="33"/>
  <c r="E1321" i="33"/>
  <c r="B1321" i="33"/>
  <c r="U1320" i="33"/>
  <c r="B1320" i="33"/>
  <c r="U1319" i="33"/>
  <c r="B1319" i="33"/>
  <c r="U1318" i="33"/>
  <c r="K1318" i="33"/>
  <c r="J1316" i="33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K1307" i="33"/>
  <c r="J1307" i="33"/>
  <c r="I1307" i="33"/>
  <c r="B1307" i="33"/>
  <c r="U1306" i="33"/>
  <c r="B1306" i="33"/>
  <c r="U1305" i="33"/>
  <c r="B1305" i="33"/>
  <c r="U1304" i="33"/>
  <c r="B1304" i="33"/>
  <c r="U1303" i="33"/>
  <c r="B1303" i="33"/>
  <c r="U1302" i="33"/>
  <c r="K1301" i="33"/>
  <c r="J1301" i="33"/>
  <c r="B1302" i="33"/>
  <c r="U1301" i="33"/>
  <c r="B1301" i="33"/>
  <c r="U1300" i="33"/>
  <c r="B1300" i="33"/>
  <c r="U1299" i="33"/>
  <c r="B1299" i="33"/>
  <c r="U1298" i="33"/>
  <c r="B1298" i="33"/>
  <c r="U1297" i="33"/>
  <c r="B1297" i="33"/>
  <c r="U1296" i="33"/>
  <c r="B1296" i="33"/>
  <c r="U1295" i="33"/>
  <c r="B1295" i="33"/>
  <c r="U1294" i="33"/>
  <c r="K1292" i="33"/>
  <c r="J1293" i="33"/>
  <c r="B1294" i="33"/>
  <c r="U1293" i="33"/>
  <c r="B1293" i="33"/>
  <c r="U1292" i="33"/>
  <c r="B1292" i="33"/>
  <c r="U1291" i="33"/>
  <c r="K1291" i="33"/>
  <c r="J1291" i="33"/>
  <c r="I1291" i="33"/>
  <c r="B1291" i="33"/>
  <c r="U1290" i="33"/>
  <c r="J1289" i="33"/>
  <c r="I1288" i="33"/>
  <c r="B1290" i="33"/>
  <c r="U1289" i="33"/>
  <c r="B1289" i="33"/>
  <c r="U1288" i="33"/>
  <c r="B1288" i="33"/>
  <c r="U1287" i="33"/>
  <c r="K1286" i="33"/>
  <c r="J1285" i="33"/>
  <c r="I1284" i="33"/>
  <c r="B1287" i="33"/>
  <c r="U1286" i="33"/>
  <c r="B1286" i="33"/>
  <c r="U1285" i="33"/>
  <c r="B1285" i="33"/>
  <c r="U1284" i="33"/>
  <c r="B1284" i="33"/>
  <c r="U1283" i="33"/>
  <c r="J1281" i="33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J1262" i="33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K1257" i="33"/>
  <c r="I1258" i="33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J1253" i="33"/>
  <c r="I1251" i="33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K1248" i="33"/>
  <c r="J1248" i="33"/>
  <c r="I1248" i="33"/>
  <c r="E1248" i="33"/>
  <c r="B1248" i="33"/>
  <c r="U1247" i="33"/>
  <c r="K1247" i="33"/>
  <c r="J1244" i="33"/>
  <c r="I1247" i="33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I1241" i="33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J1239" i="33"/>
  <c r="I1238" i="33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K1230" i="33"/>
  <c r="J1228" i="33"/>
  <c r="I1230" i="33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K1220" i="33"/>
  <c r="J1220" i="33"/>
  <c r="I1220" i="33"/>
  <c r="E1220" i="33"/>
  <c r="B1220" i="33"/>
  <c r="U1219" i="33"/>
  <c r="K1219" i="33"/>
  <c r="J1219" i="33"/>
  <c r="I1219" i="33"/>
  <c r="E1219" i="33"/>
  <c r="B1219" i="33"/>
  <c r="U1218" i="33"/>
  <c r="E1218" i="33"/>
  <c r="B1218" i="33"/>
  <c r="U1217" i="33"/>
  <c r="E1217" i="33"/>
  <c r="B1217" i="33"/>
  <c r="U1216" i="33"/>
  <c r="K1213" i="33"/>
  <c r="J1174" i="33"/>
  <c r="I1216" i="33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K1150" i="33"/>
  <c r="I1150" i="33"/>
  <c r="E1212" i="33"/>
  <c r="B1212" i="33"/>
  <c r="U1211" i="33"/>
  <c r="E1211" i="33"/>
  <c r="B1211" i="33"/>
  <c r="U1210" i="33"/>
  <c r="E1210" i="33"/>
  <c r="B1210" i="33"/>
  <c r="U1209" i="33"/>
  <c r="E1209" i="33"/>
  <c r="B1209" i="33"/>
  <c r="U1208" i="33"/>
  <c r="E1208" i="33"/>
  <c r="B1208" i="33"/>
  <c r="U1207" i="33"/>
  <c r="E1207" i="33"/>
  <c r="B1207" i="33"/>
  <c r="U1206" i="33"/>
  <c r="J1206" i="33"/>
  <c r="I1204" i="33"/>
  <c r="E1206" i="33"/>
  <c r="B1206" i="33"/>
  <c r="U1205" i="33"/>
  <c r="E1205" i="33"/>
  <c r="B1205" i="33"/>
  <c r="U1204" i="33"/>
  <c r="E1204" i="33"/>
  <c r="B1204" i="33"/>
  <c r="U1203" i="33"/>
  <c r="K1198" i="33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K1194" i="33"/>
  <c r="J1195" i="33"/>
  <c r="E1195" i="33"/>
  <c r="B1195" i="33"/>
  <c r="U1194" i="33"/>
  <c r="E1194" i="33"/>
  <c r="B1194" i="33"/>
  <c r="U1193" i="33"/>
  <c r="K1192" i="33"/>
  <c r="J1191" i="33"/>
  <c r="I1192" i="33"/>
  <c r="B1193" i="33"/>
  <c r="U1192" i="33"/>
  <c r="B1192" i="33"/>
  <c r="U1191" i="33"/>
  <c r="B1191" i="33"/>
  <c r="U1190" i="33"/>
  <c r="E1190" i="33"/>
  <c r="B1190" i="33"/>
  <c r="U1189" i="33"/>
  <c r="E1189" i="33"/>
  <c r="B1189" i="33"/>
  <c r="U1188" i="33"/>
  <c r="E1188" i="33"/>
  <c r="B1188" i="33"/>
  <c r="U1187" i="33"/>
  <c r="J1183" i="33"/>
  <c r="I1186" i="33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J1170" i="33"/>
  <c r="I1172" i="33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K1169" i="33"/>
  <c r="J1169" i="33"/>
  <c r="I1169" i="33"/>
  <c r="E1169" i="33"/>
  <c r="B1169" i="33"/>
  <c r="U1168" i="33"/>
  <c r="K1167" i="33"/>
  <c r="J1167" i="33"/>
  <c r="I1166" i="33"/>
  <c r="E1168" i="33"/>
  <c r="B1168" i="33"/>
  <c r="U1167" i="33"/>
  <c r="E1167" i="33"/>
  <c r="B1167" i="33"/>
  <c r="U1166" i="33"/>
  <c r="E1166" i="33"/>
  <c r="B1166" i="33"/>
  <c r="U1165" i="33"/>
  <c r="K1165" i="33"/>
  <c r="J1165" i="33"/>
  <c r="I1165" i="33"/>
  <c r="E1165" i="33"/>
  <c r="B1165" i="33"/>
  <c r="U1164" i="33"/>
  <c r="K1164" i="33"/>
  <c r="J1164" i="33"/>
  <c r="I1163" i="33"/>
  <c r="E1164" i="33"/>
  <c r="B1164" i="33"/>
  <c r="U1163" i="33"/>
  <c r="E1163" i="33"/>
  <c r="B1163" i="33"/>
  <c r="U1162" i="33"/>
  <c r="E1162" i="33"/>
  <c r="B1162" i="33"/>
  <c r="U1161" i="33"/>
  <c r="I1160" i="33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J1157" i="33"/>
  <c r="I1155" i="33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K1147" i="33"/>
  <c r="J1149" i="33"/>
  <c r="I1148" i="33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K1145" i="33"/>
  <c r="J1144" i="33"/>
  <c r="I1143" i="33"/>
  <c r="E1145" i="33"/>
  <c r="B1145" i="33"/>
  <c r="U1144" i="33"/>
  <c r="E1144" i="33"/>
  <c r="B1144" i="33"/>
  <c r="U1143" i="33"/>
  <c r="E1143" i="33"/>
  <c r="B1143" i="33"/>
  <c r="U1142" i="33"/>
  <c r="K1139" i="33"/>
  <c r="J1140" i="33"/>
  <c r="I1138" i="33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K1134" i="33"/>
  <c r="J1134" i="33"/>
  <c r="I1135" i="33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K1133" i="33"/>
  <c r="J1133" i="33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K1114" i="33"/>
  <c r="J1114" i="33"/>
  <c r="I1114" i="33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U92" i="6"/>
  <c r="B92" i="6"/>
  <c r="P169" i="6"/>
  <c r="I169" i="6"/>
  <c r="J169" i="6"/>
  <c r="K169" i="6"/>
  <c r="Y82" i="1"/>
  <c r="X82" i="1"/>
  <c r="T82" i="1"/>
  <c r="U82" i="1"/>
  <c r="S82" i="1"/>
  <c r="R82" i="1"/>
  <c r="Q82" i="1"/>
  <c r="P82" i="1"/>
  <c r="U93" i="6"/>
  <c r="B93" i="6"/>
  <c r="B14" i="6"/>
  <c r="B13" i="6"/>
  <c r="B12" i="6"/>
  <c r="B11" i="6"/>
  <c r="U523" i="6"/>
  <c r="P523" i="6"/>
  <c r="K523" i="6"/>
  <c r="J523" i="6"/>
  <c r="I523" i="6"/>
  <c r="B523" i="6"/>
  <c r="J3504" i="33"/>
  <c r="I3505" i="33"/>
  <c r="B28" i="6"/>
  <c r="B27" i="6"/>
  <c r="E89" i="6"/>
  <c r="D89" i="6"/>
  <c r="B89" i="6"/>
  <c r="B29" i="6"/>
  <c r="Q80" i="1"/>
  <c r="Y79" i="1"/>
  <c r="U79" i="1"/>
  <c r="T79" i="1"/>
  <c r="S79" i="1"/>
  <c r="R79" i="1"/>
  <c r="Q79" i="1"/>
  <c r="P79" i="1"/>
  <c r="B90" i="6"/>
  <c r="D90" i="6"/>
  <c r="E90" i="6"/>
  <c r="K3400" i="33"/>
  <c r="J3399" i="33"/>
  <c r="I3400" i="33"/>
  <c r="P3400" i="33"/>
  <c r="K424" i="6"/>
  <c r="J424" i="6"/>
  <c r="I424" i="6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81" i="1"/>
  <c r="Q81" i="1"/>
  <c r="R81" i="1"/>
  <c r="S81" i="1"/>
  <c r="T81" i="1"/>
  <c r="U81" i="1"/>
  <c r="X81" i="1"/>
  <c r="Y81" i="1"/>
  <c r="U524" i="6"/>
  <c r="U525" i="6"/>
  <c r="D138" i="7"/>
  <c r="Y80" i="1"/>
  <c r="X80" i="1"/>
  <c r="U80" i="1"/>
  <c r="T80" i="1"/>
  <c r="S80" i="1"/>
  <c r="R80" i="1"/>
  <c r="P80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K29" i="12"/>
  <c r="J29" i="12"/>
  <c r="J30" i="12" s="1"/>
  <c r="K15" i="12"/>
  <c r="J15" i="12"/>
  <c r="J16" i="12" s="1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J5" i="12"/>
  <c r="N5" i="12"/>
  <c r="N6" i="12" s="1"/>
  <c r="L5" i="12"/>
  <c r="L6" i="12" s="1"/>
  <c r="M5" i="12"/>
  <c r="K5" i="12"/>
  <c r="E571" i="6"/>
  <c r="E572" i="6"/>
  <c r="E568" i="6"/>
  <c r="E569" i="6"/>
  <c r="E560" i="6"/>
  <c r="E559" i="6"/>
  <c r="J6" i="12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80" i="1" l="1"/>
  <c r="AQ80" i="1" s="1"/>
  <c r="AO79" i="1"/>
  <c r="AQ79" i="1" s="1"/>
  <c r="AO82" i="1"/>
  <c r="AQ82" i="1" s="1"/>
  <c r="AO81" i="1"/>
  <c r="AQ81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8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I3503" i="33"/>
  <c r="J1205" i="33"/>
  <c r="J1163" i="33"/>
  <c r="K1132" i="33"/>
  <c r="J1162" i="33"/>
  <c r="J1204" i="33"/>
  <c r="J3193" i="33"/>
  <c r="I3111" i="33"/>
  <c r="V8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P148" i="6"/>
  <c r="P151" i="6"/>
  <c r="J3111" i="33"/>
  <c r="J133" i="6"/>
  <c r="K155" i="6"/>
  <c r="K156" i="6"/>
  <c r="I154" i="6"/>
  <c r="K131" i="6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J151" i="6"/>
  <c r="J148" i="6"/>
  <c r="P154" i="6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K127" i="6"/>
  <c r="K130" i="6"/>
  <c r="K3193" i="33"/>
  <c r="K128" i="6"/>
  <c r="K3192" i="33"/>
  <c r="P3193" i="33"/>
  <c r="P3192" i="33"/>
  <c r="P156" i="6"/>
  <c r="K126" i="6"/>
  <c r="P3583" i="33"/>
  <c r="P153" i="6"/>
  <c r="K3195" i="33"/>
  <c r="I150" i="6"/>
  <c r="J161" i="6"/>
  <c r="P162" i="6"/>
  <c r="I160" i="6"/>
  <c r="K161" i="6"/>
  <c r="J160" i="6"/>
  <c r="P161" i="6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I153" i="6"/>
  <c r="J1172" i="33"/>
  <c r="J1130" i="33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J2885" i="33"/>
  <c r="V79" i="1"/>
  <c r="K3583" i="33"/>
  <c r="P130" i="6"/>
  <c r="J3503" i="33"/>
  <c r="K3108" i="33"/>
  <c r="J3505" i="33"/>
  <c r="P2885" i="33"/>
  <c r="I1292" i="33"/>
  <c r="J1192" i="33"/>
  <c r="P1129" i="33"/>
  <c r="I128" i="6"/>
  <c r="K148" i="6"/>
  <c r="J153" i="6"/>
  <c r="I126" i="6"/>
  <c r="I129" i="6"/>
  <c r="I130" i="6"/>
  <c r="I131" i="6"/>
  <c r="K151" i="6"/>
  <c r="K152" i="6"/>
  <c r="J156" i="6"/>
  <c r="J2886" i="33"/>
  <c r="J152" i="6"/>
  <c r="J154" i="6"/>
  <c r="P131" i="6"/>
  <c r="P128" i="6"/>
  <c r="P126" i="6"/>
  <c r="P157" i="6"/>
  <c r="I156" i="6"/>
  <c r="I157" i="6"/>
  <c r="I155" i="6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J3494" i="33"/>
  <c r="J3492" i="33"/>
  <c r="P1152" i="33"/>
  <c r="P1157" i="33"/>
  <c r="J2290" i="33"/>
  <c r="J2289" i="33"/>
  <c r="P1689" i="33"/>
  <c r="P1688" i="33"/>
  <c r="P3424" i="33"/>
  <c r="P3426" i="33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J155" i="6"/>
  <c r="I1938" i="33"/>
  <c r="I2119" i="33"/>
  <c r="P1765" i="33"/>
  <c r="J1783" i="33"/>
  <c r="I2850" i="33"/>
  <c r="K2825" i="33"/>
  <c r="I2808" i="33"/>
  <c r="V82" i="1"/>
  <c r="I3195" i="33"/>
  <c r="J3192" i="33"/>
  <c r="P3194" i="33"/>
  <c r="I3109" i="33"/>
  <c r="I3110" i="33"/>
  <c r="K3110" i="33"/>
  <c r="P3109" i="33"/>
  <c r="I2886" i="33"/>
  <c r="K2886" i="33"/>
  <c r="I158" i="6"/>
  <c r="P158" i="6"/>
  <c r="K158" i="6"/>
  <c r="J2667" i="33"/>
  <c r="J2666" i="33"/>
  <c r="I1853" i="33"/>
  <c r="I1854" i="33"/>
  <c r="K1255" i="33"/>
  <c r="K1259" i="33"/>
  <c r="K2504" i="33"/>
  <c r="K2503" i="33"/>
  <c r="P2373" i="33"/>
  <c r="P2374" i="33"/>
  <c r="P3091" i="33"/>
  <c r="P3090" i="33"/>
  <c r="J3030" i="33"/>
  <c r="J3031" i="33"/>
  <c r="P3383" i="33"/>
  <c r="P3382" i="33"/>
  <c r="J158" i="6"/>
  <c r="J159" i="6"/>
  <c r="I159" i="6"/>
  <c r="K159" i="6"/>
  <c r="P159" i="6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J2320" i="33"/>
  <c r="J2322" i="33"/>
  <c r="J2512" i="33"/>
  <c r="J2511" i="33"/>
  <c r="I2003" i="33"/>
  <c r="I2835" i="33"/>
  <c r="K1688" i="33"/>
  <c r="J1758" i="33"/>
  <c r="P1522" i="33"/>
  <c r="K2653" i="33"/>
  <c r="K2817" i="33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I2473" i="33"/>
  <c r="I2468" i="33"/>
  <c r="P2729" i="33"/>
  <c r="J1756" i="33"/>
  <c r="P1462" i="33"/>
  <c r="K1603" i="33"/>
  <c r="K2820" i="33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80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48" i="36"/>
  <c r="M148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</authors>
  <commentList>
    <comment ref="I3" authorId="0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4" authorId="0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<sst xmlns="http://schemas.openxmlformats.org/spreadsheetml/2006/main" count="19130" uniqueCount="1891">
  <si>
    <t>ETA Month</t>
  </si>
  <si>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</si>
  <si>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</si>
  <si>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</si>
  <si>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</si>
  <si>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</si>
  <si>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</si>
  <si>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</si>
  <si>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</si>
  <si>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</si>
  <si>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</si>
  <si>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</si>
  <si>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</si>
  <si>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</si>
  <si>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</si>
  <si>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</si>
  <si>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</si>
  <si>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</si>
  <si>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</si>
  <si>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</si>
  <si>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</si>
  <si>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</si>
  <si>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</si>
  <si>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</si>
  <si>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</si>
  <si>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</si>
  <si>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</si>
  <si>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</si>
  <si>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</si>
  <si>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</si>
  <si>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</si>
  <si>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</si>
  <si>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</si>
  <si>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</si>
  <si>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</si>
  <si>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RMB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</si>
  <si>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</si>
  <si>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</si>
  <si>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</si>
  <si>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</si>
  <si>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</si>
  <si>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</si>
  <si>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</si>
  <si>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</si>
  <si>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</si>
  <si>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</si>
  <si>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</si>
  <si>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</si>
  <si>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</si>
  <si>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</si>
  <si>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</si>
  <si>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</si>
  <si>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</si>
  <si>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</si>
  <si>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</si>
  <si>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</si>
  <si>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</si>
  <si>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</si>
  <si>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</si>
  <si>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</si>
  <si>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</si>
  <si>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</si>
  <si>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</si>
  <si>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</si>
  <si>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</si>
  <si>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</si>
  <si>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</si>
  <si>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</si>
  <si>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</si>
  <si>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</si>
  <si>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</si>
  <si>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</si>
  <si>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</si>
  <si>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</si>
  <si>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>音品名义下单</t>
  </si>
  <si>
    <t>C49SZX20200227MZ</t>
  </si>
  <si>
    <t>程氏松哥</t>
  </si>
  <si>
    <t>模鑫</t>
  </si>
  <si>
    <t>C49SZX20200257JY</t>
  </si>
  <si>
    <t>精德鸿</t>
  </si>
  <si>
    <t>正创名义下单</t>
  </si>
  <si>
    <t>江西络鑫</t>
  </si>
  <si>
    <t>JUL 21</t>
  </si>
  <si>
    <t>C49SZX20210052JY</t>
  </si>
  <si>
    <t>C49SZX20210083SS</t>
  </si>
  <si>
    <t>世启纳</t>
  </si>
  <si>
    <t>超思维名义下单</t>
  </si>
  <si>
    <t>捷舜诚</t>
  </si>
  <si>
    <t>C49SZX20210073AY</t>
  </si>
  <si>
    <t>铣米</t>
  </si>
  <si>
    <t>崧盛</t>
  </si>
  <si>
    <t>C49SZX20210071SS</t>
  </si>
  <si>
    <t>泓凯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</si>
  <si>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</si>
  <si>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</si>
  <si>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</si>
  <si>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</si>
  <si>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</si>
  <si>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</si>
  <si>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</si>
  <si>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</si>
  <si>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</si>
  <si>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</si>
  <si>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狂热者</t>
  </si>
  <si>
    <t>C49SZX20210031SX</t>
  </si>
  <si>
    <t>益田科技</t>
  </si>
  <si>
    <t>赛美达</t>
  </si>
  <si>
    <t>品诚伟创</t>
  </si>
  <si>
    <t>精德鸿名义下单</t>
  </si>
  <si>
    <t>C49SZX20200248SX</t>
  </si>
  <si>
    <t>悦之彩</t>
  </si>
  <si>
    <t>百益晟</t>
  </si>
  <si>
    <t>龙大名义下单</t>
  </si>
  <si>
    <t>YSM40R-4</t>
  </si>
  <si>
    <t>龙大光电</t>
  </si>
  <si>
    <t>平方兆赫名义下单</t>
  </si>
  <si>
    <t>平方兆赫</t>
  </si>
  <si>
    <t>SIGMA-G5S2</t>
  </si>
  <si>
    <t>志华鑫名义下单</t>
  </si>
  <si>
    <t>C49SZX20210082MZ</t>
  </si>
  <si>
    <t>C49SZX20210057DZ</t>
  </si>
  <si>
    <t>优品</t>
  </si>
  <si>
    <t>斯迈电子</t>
  </si>
  <si>
    <t>嘉裕</t>
  </si>
  <si>
    <t>海松微</t>
  </si>
  <si>
    <t>利速达</t>
  </si>
  <si>
    <t>优派芯</t>
  </si>
  <si>
    <t>嘉普达</t>
  </si>
  <si>
    <t>赛维显示</t>
  </si>
  <si>
    <t>名商</t>
  </si>
  <si>
    <t>C49SZX20200232SX</t>
  </si>
  <si>
    <t>永顺创</t>
  </si>
  <si>
    <t>航特</t>
  </si>
  <si>
    <t>吉鑫凯</t>
  </si>
  <si>
    <t>C49SZX20200249SX</t>
  </si>
  <si>
    <t>凌鑫</t>
  </si>
  <si>
    <t>奕东名义下单</t>
  </si>
  <si>
    <t>YSi-V</t>
  </si>
  <si>
    <t>C28SZX20200081KC</t>
  </si>
  <si>
    <t>鸿通宇</t>
  </si>
  <si>
    <t>汇总</t>
  </si>
  <si>
    <t>#N/A</t>
  </si>
  <si>
    <t>(空白)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</si>
  <si>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</si>
  <si>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</si>
  <si>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</si>
  <si>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</si>
  <si>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</si>
  <si>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</si>
  <si>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</si>
  <si>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</si>
  <si>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</si>
  <si>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</si>
  <si>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</si>
  <si>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</si>
  <si>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</si>
  <si>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</si>
  <si>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</si>
  <si>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</si>
  <si>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</si>
  <si>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</si>
  <si>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</si>
  <si>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</si>
  <si>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</si>
  <si>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</si>
  <si>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</si>
  <si>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</si>
  <si>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</si>
  <si>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</si>
  <si>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</si>
  <si>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</si>
  <si>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</si>
  <si>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</si>
  <si>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</si>
  <si>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</si>
  <si>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Sum of QTY</t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</si>
  <si>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</si>
  <si>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</si>
  <si>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</si>
  <si>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</si>
  <si>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</si>
  <si>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</si>
  <si>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</si>
  <si>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</si>
  <si>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</si>
  <si>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</si>
  <si>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</si>
  <si>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</si>
  <si>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</si>
  <si>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</si>
  <si>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</si>
  <si>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</si>
  <si>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</si>
  <si>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</si>
  <si>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</si>
  <si>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</si>
  <si>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</si>
  <si>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t>ETA HK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</si>
  <si>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</si>
  <si>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</si>
  <si>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</si>
  <si>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</si>
  <si>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</si>
  <si>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</si>
  <si>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</si>
  <si>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</si>
  <si>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</si>
  <si>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</si>
  <si>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</si>
  <si>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</si>
  <si>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</si>
  <si>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</si>
  <si>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t>C49</t>
    <phoneticPr fontId="3" type="noConversion"/>
  </si>
  <si>
    <t>NO</t>
  </si>
  <si>
    <t>Yes</t>
    <phoneticPr fontId="3" type="noConversion"/>
  </si>
  <si>
    <t>MVC+ATS15</t>
    <phoneticPr fontId="3" type="noConversion"/>
  </si>
  <si>
    <t>YSM40R-4</t>
    <phoneticPr fontId="3" type="noConversion"/>
  </si>
  <si>
    <t>No</t>
    <phoneticPr fontId="3" type="noConversion"/>
  </si>
  <si>
    <t>SIGMA-G5S2</t>
    <phoneticPr fontId="3" type="noConversion"/>
  </si>
  <si>
    <t>YSM20-2</t>
  </si>
  <si>
    <t>YCP10</t>
  </si>
  <si>
    <t>ATS15</t>
    <phoneticPr fontId="3" type="noConversion"/>
  </si>
  <si>
    <t>JAN 21</t>
  </si>
  <si>
    <t>YSM20R-2</t>
    <phoneticPr fontId="3" type="noConversion"/>
  </si>
  <si>
    <t>49F103708</t>
    <phoneticPr fontId="3" type="noConversion"/>
  </si>
  <si>
    <t>RMB</t>
    <phoneticPr fontId="3" type="noConversion"/>
  </si>
  <si>
    <t>AUG 21</t>
  </si>
  <si>
    <t>HK 仓库</t>
  </si>
  <si>
    <t>力合仓库(已经清关)</t>
  </si>
  <si>
    <t>cATS10+MVC(F&amp;R)+Feeder Carriage</t>
    <phoneticPr fontId="3" type="noConversion"/>
  </si>
  <si>
    <t>前海保税区</t>
  </si>
  <si>
    <t>R-0625L</t>
    <phoneticPr fontId="3" type="noConversion"/>
  </si>
  <si>
    <t>SEP 21</t>
  </si>
  <si>
    <t>Yamaha 深圳仓库</t>
  </si>
  <si>
    <t>Feeder Carriage</t>
    <phoneticPr fontId="3" type="noConversion"/>
  </si>
  <si>
    <t>MVC F&amp;R+ATS15</t>
    <phoneticPr fontId="3" type="noConversion"/>
  </si>
  <si>
    <t>易通名义下单</t>
  </si>
  <si>
    <t>YRH10</t>
  </si>
  <si>
    <t>已发货</t>
    <phoneticPr fontId="3" type="noConversion"/>
  </si>
  <si>
    <t>鸿楠名义下单</t>
    <phoneticPr fontId="3" type="noConversion"/>
  </si>
  <si>
    <t xml:space="preserve">MVC+96 FEEDER PLATE (YSM10) </t>
    <phoneticPr fontId="3" type="noConversion"/>
  </si>
  <si>
    <t>cATS10+MVC+Feeder Carriage</t>
  </si>
  <si>
    <t>MVC F&amp;R</t>
    <phoneticPr fontId="3" type="noConversion"/>
  </si>
  <si>
    <t>MAY 23</t>
  </si>
  <si>
    <t>110993(TT)</t>
    <phoneticPr fontId="3" type="noConversion"/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</si>
  <si>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</si>
  <si>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</si>
  <si>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</si>
  <si>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</si>
  <si>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</si>
  <si>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</si>
  <si>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</si>
  <si>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</si>
  <si>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</si>
  <si>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</si>
  <si>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</si>
  <si>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</si>
  <si>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</si>
  <si>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</si>
  <si>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</si>
  <si>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</si>
  <si>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</si>
  <si>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</si>
  <si>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</si>
  <si>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</si>
  <si>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</si>
  <si>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</si>
  <si>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</si>
  <si>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</si>
  <si>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</si>
  <si>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</si>
  <si>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</si>
  <si>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</si>
  <si>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</si>
  <si>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</si>
  <si>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</si>
  <si>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</si>
  <si>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</si>
  <si>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</si>
  <si>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</si>
  <si>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</si>
  <si>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</si>
  <si>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</si>
  <si>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</si>
  <si>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</si>
  <si>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</si>
  <si>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</si>
  <si>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</si>
  <si>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</si>
  <si>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</si>
  <si>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</si>
  <si>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</si>
  <si>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</si>
  <si>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</si>
  <si>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</si>
  <si>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</si>
  <si>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</si>
  <si>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</si>
  <si>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</si>
  <si>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</si>
  <si>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</si>
  <si>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</si>
  <si>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</si>
  <si>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</si>
  <si>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</si>
  <si>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</si>
  <si>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</si>
  <si>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</si>
  <si>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</si>
  <si>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</si>
  <si>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</si>
  <si>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</si>
  <si>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</si>
  <si>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</si>
  <si>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</si>
  <si>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</si>
  <si>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</si>
  <si>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</si>
  <si>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</si>
  <si>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</si>
  <si>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</si>
  <si>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</si>
  <si>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</si>
  <si>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</si>
  <si>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</si>
  <si>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</si>
  <si>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</si>
  <si>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</si>
  <si>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</si>
  <si>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</si>
  <si>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</si>
  <si>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</si>
  <si>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</si>
  <si>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</si>
  <si>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</si>
  <si>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</si>
  <si>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</si>
  <si>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</si>
  <si>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</si>
  <si>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</si>
  <si>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</si>
  <si>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</si>
  <si>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</si>
  <si>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</si>
  <si>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</si>
  <si>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</si>
  <si>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</si>
  <si>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</si>
  <si>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</si>
  <si>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</si>
  <si>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</si>
  <si>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</si>
  <si>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</si>
  <si>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</si>
  <si>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</si>
  <si>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</si>
  <si>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</si>
  <si>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</si>
  <si>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</si>
  <si>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</si>
  <si>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</si>
  <si>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</si>
  <si>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</si>
  <si>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</si>
  <si>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</si>
  <si>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</si>
  <si>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</si>
  <si>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</si>
  <si>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</si>
  <si>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</si>
  <si>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</si>
  <si>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</si>
  <si>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</si>
  <si>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</si>
  <si>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</si>
  <si>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</si>
  <si>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</si>
  <si>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</si>
  <si>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</si>
  <si>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</si>
  <si>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</si>
  <si>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</si>
  <si>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</si>
  <si>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</si>
  <si>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</si>
  <si>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</si>
  <si>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</si>
  <si>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</si>
  <si>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</si>
  <si>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</si>
  <si>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</si>
  <si>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</si>
  <si>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</si>
  <si>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</si>
  <si>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</si>
  <si>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</si>
  <si>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</si>
  <si>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</si>
  <si>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</si>
  <si>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</si>
  <si>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</si>
  <si>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</si>
  <si>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</si>
  <si>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</si>
  <si>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</si>
  <si>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</si>
  <si>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</si>
  <si>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</si>
  <si>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</si>
  <si>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</si>
  <si>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</si>
  <si>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</si>
  <si>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</si>
  <si>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</si>
  <si>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</si>
  <si>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</si>
  <si>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</si>
  <si>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</si>
  <si>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</si>
  <si>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</si>
  <si>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</si>
  <si>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</si>
  <si>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</si>
  <si>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</si>
  <si>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</si>
  <si>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</si>
  <si>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</si>
  <si>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</si>
  <si>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</si>
  <si>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</si>
  <si>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</si>
  <si>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</si>
  <si>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</si>
  <si>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</si>
  <si>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</si>
  <si>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</si>
  <si>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</si>
  <si>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</si>
  <si>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</si>
  <si>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</si>
  <si>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</si>
  <si>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</si>
  <si>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</si>
  <si>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</si>
  <si>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</si>
  <si>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</si>
  <si>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</si>
  <si>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</si>
  <si>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</si>
  <si>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</si>
  <si>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</si>
  <si>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</si>
  <si>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</si>
  <si>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</si>
  <si>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</si>
  <si>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</si>
  <si>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</si>
  <si>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</si>
  <si>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</si>
  <si>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</si>
  <si>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</si>
  <si>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</si>
  <si>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</si>
  <si>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</si>
  <si>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</si>
  <si>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</si>
  <si>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</si>
  <si>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</si>
  <si>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</si>
  <si>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</si>
  <si>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</si>
  <si>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</si>
  <si>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</si>
  <si>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</si>
  <si>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</si>
  <si>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</si>
  <si>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</si>
  <si>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</si>
  <si>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</si>
  <si>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</si>
  <si>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</si>
  <si>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</si>
  <si>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</si>
  <si>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</si>
  <si>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</si>
  <si>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</si>
  <si>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</si>
  <si>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</si>
  <si>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</si>
  <si>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</si>
  <si>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</si>
  <si>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</si>
  <si>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</si>
  <si>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</si>
  <si>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</si>
  <si>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</si>
  <si>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</si>
  <si>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</si>
  <si>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</si>
  <si>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</si>
  <si>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</si>
  <si>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</si>
  <si>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</si>
  <si>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</si>
  <si>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</si>
  <si>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</si>
  <si>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</si>
  <si>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</si>
  <si>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</si>
  <si>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</si>
  <si>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</si>
  <si>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</si>
  <si>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</si>
  <si>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</si>
  <si>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</si>
  <si>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</si>
  <si>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</si>
  <si>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</si>
  <si>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</si>
  <si>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</si>
  <si>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</si>
  <si>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</si>
  <si>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</si>
  <si>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</si>
  <si>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</si>
  <si>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</si>
  <si>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</si>
  <si>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</si>
  <si>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</si>
  <si>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</si>
  <si>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</si>
  <si>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</si>
  <si>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</si>
  <si>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</si>
  <si>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</si>
  <si>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</si>
  <si>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</si>
  <si>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</si>
  <si>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</si>
  <si>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</si>
  <si>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</si>
  <si>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</si>
  <si>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</si>
  <si>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</si>
  <si>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</si>
  <si>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</si>
  <si>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</si>
  <si>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</si>
  <si>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</si>
  <si>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</si>
  <si>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</si>
  <si>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</si>
  <si>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</si>
  <si>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</si>
  <si>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</si>
  <si>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</si>
  <si>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</si>
  <si>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</si>
  <si>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</si>
  <si>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</si>
  <si>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</si>
  <si>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</si>
  <si>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</si>
  <si>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</si>
  <si>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</si>
  <si>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</si>
  <si>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</si>
  <si>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</si>
  <si>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</si>
  <si>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</si>
  <si>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</si>
  <si>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</si>
  <si>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</si>
  <si>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</si>
  <si>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</si>
  <si>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</si>
  <si>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</si>
  <si>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</si>
  <si>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</si>
  <si>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</si>
  <si>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</si>
  <si>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</si>
  <si>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</si>
  <si>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</si>
  <si>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</si>
  <si>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</si>
  <si>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</si>
  <si>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</si>
  <si>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</si>
  <si>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</si>
  <si>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</si>
  <si>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</si>
  <si>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</si>
  <si>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</si>
  <si>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</si>
  <si>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</si>
  <si>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</si>
  <si>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</si>
  <si>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</si>
  <si>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</si>
  <si>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</si>
  <si>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</si>
  <si>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</si>
  <si>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</si>
  <si>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</si>
  <si>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</si>
  <si>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</si>
  <si>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</si>
  <si>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</si>
  <si>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</si>
  <si>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</si>
  <si>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</si>
  <si>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</si>
  <si>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</si>
  <si>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</si>
  <si>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</si>
  <si>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</si>
  <si>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</si>
  <si>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</si>
  <si>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</si>
  <si>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</si>
  <si>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</si>
  <si>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</si>
  <si>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</si>
  <si>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</si>
  <si>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</si>
  <si>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</si>
  <si>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</si>
  <si>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</si>
  <si>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</si>
  <si>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</si>
  <si>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</si>
  <si>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</si>
  <si>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</si>
  <si>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</si>
  <si>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</si>
  <si>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</si>
  <si>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</si>
  <si>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</si>
  <si>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</si>
  <si>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</si>
  <si>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</si>
  <si>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</si>
  <si>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</si>
  <si>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</si>
  <si>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</si>
  <si>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</si>
  <si>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</si>
  <si>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</si>
  <si>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</si>
  <si>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</si>
  <si>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</si>
  <si>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</si>
  <si>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</si>
  <si>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</si>
  <si>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</si>
  <si>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</si>
  <si>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</si>
  <si>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</si>
  <si>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</si>
  <si>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</si>
  <si>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</si>
  <si>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</si>
  <si>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</si>
  <si>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</si>
  <si>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</si>
  <si>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</si>
  <si>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</si>
  <si>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</si>
  <si>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</si>
  <si>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</si>
  <si>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</si>
  <si>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</si>
  <si>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</si>
  <si>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</si>
  <si>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</si>
  <si>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</si>
  <si>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</si>
  <si>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</si>
  <si>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</si>
  <si>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</si>
  <si>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</si>
  <si>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</si>
  <si>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</si>
  <si>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</si>
  <si>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</si>
  <si>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</si>
  <si>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</si>
  <si>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</si>
  <si>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</si>
  <si>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</si>
  <si>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</si>
  <si>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</si>
  <si>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</si>
  <si>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</si>
  <si>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</si>
  <si>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</si>
  <si>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</si>
  <si>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</si>
  <si>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</si>
  <si>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</si>
  <si>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</si>
  <si>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</si>
  <si>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</si>
  <si>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</si>
  <si>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</si>
  <si>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</si>
  <si>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</si>
  <si>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</si>
  <si>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</si>
  <si>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</si>
  <si>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</si>
  <si>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</si>
  <si>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</si>
  <si>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</si>
  <si>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</si>
  <si>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</si>
  <si>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</si>
  <si>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</si>
  <si>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</si>
  <si>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</si>
  <si>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</si>
  <si>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</si>
  <si>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</si>
  <si>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</si>
  <si>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</si>
  <si>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</si>
  <si>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</si>
  <si>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</si>
  <si>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</si>
  <si>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</si>
  <si>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</si>
  <si>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</si>
  <si>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</si>
  <si>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</si>
  <si>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</si>
  <si>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</si>
  <si>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</si>
  <si>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</si>
  <si>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</si>
  <si>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</si>
  <si>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</si>
  <si>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</si>
  <si>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</si>
  <si>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</si>
  <si>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</si>
  <si>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</si>
  <si>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</si>
  <si>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</si>
  <si>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</si>
  <si>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</si>
  <si>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</si>
  <si>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</si>
  <si>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</si>
  <si>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</si>
  <si>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</si>
  <si>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</si>
  <si>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</si>
  <si>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</si>
  <si>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</si>
  <si>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</si>
  <si>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</si>
  <si>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</si>
  <si>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</si>
  <si>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</si>
  <si>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</si>
  <si>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</si>
  <si>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</si>
  <si>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</si>
  <si>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</si>
  <si>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</si>
  <si>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</si>
  <si>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</si>
  <si>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</si>
  <si>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</si>
  <si>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</si>
  <si>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</si>
  <si>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</si>
  <si>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</si>
  <si>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</si>
  <si>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</si>
  <si>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</si>
  <si>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</si>
  <si>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</si>
  <si>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</si>
  <si>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</si>
  <si>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</si>
  <si>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</si>
  <si>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</si>
  <si>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</si>
  <si>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</si>
  <si>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</si>
  <si>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</si>
  <si>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</si>
  <si>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</si>
  <si>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</si>
  <si>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</si>
  <si>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</si>
  <si>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</si>
  <si>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</si>
  <si>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</si>
  <si>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</si>
  <si>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</si>
  <si>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</si>
  <si>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</si>
  <si>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</si>
  <si>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</si>
  <si>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</si>
  <si>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</si>
  <si>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</si>
  <si>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</si>
  <si>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</si>
  <si>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</si>
  <si>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</si>
  <si>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</si>
  <si>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</si>
  <si>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</si>
  <si>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</si>
  <si>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</si>
  <si>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</si>
  <si>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</si>
  <si>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</si>
  <si>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</si>
  <si>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</si>
  <si>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</si>
  <si>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</si>
  <si>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</si>
  <si>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</si>
  <si>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</si>
  <si>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</si>
  <si>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</si>
  <si>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</si>
  <si>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</si>
  <si>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</si>
  <si>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</si>
  <si>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</si>
  <si>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</si>
  <si>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</si>
  <si>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</si>
  <si>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</si>
  <si>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</si>
  <si>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</si>
  <si>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</si>
  <si>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</si>
  <si>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</si>
  <si>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</si>
  <si>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</si>
  <si>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</si>
  <si>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</si>
  <si>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</si>
  <si>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</si>
  <si>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</si>
  <si>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</si>
  <si>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</si>
  <si>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</si>
  <si>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</si>
  <si>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</si>
  <si>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</si>
  <si>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</si>
  <si>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</si>
  <si>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</si>
  <si>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</si>
  <si>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</si>
  <si>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</si>
  <si>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</si>
  <si>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</si>
  <si>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</si>
  <si>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</si>
  <si>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</si>
  <si>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</si>
  <si>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</si>
  <si>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</si>
  <si>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</si>
  <si>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</si>
  <si>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</si>
  <si>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</si>
  <si>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</si>
  <si>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</si>
  <si>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</si>
  <si>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</si>
  <si>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</si>
  <si>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</si>
  <si>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</si>
  <si>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</si>
  <si>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</si>
  <si>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</si>
  <si>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</si>
  <si>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</si>
  <si>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</si>
  <si>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</si>
  <si>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</si>
  <si>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</si>
  <si>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</si>
  <si>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</si>
  <si>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</si>
  <si>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</si>
  <si>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</si>
  <si>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</si>
  <si>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</si>
  <si>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</si>
  <si>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</si>
  <si>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</si>
  <si>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</si>
  <si>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</si>
  <si>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</si>
  <si>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</si>
  <si>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</si>
  <si>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</si>
  <si>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</si>
  <si>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</si>
  <si>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</si>
  <si>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</si>
  <si>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</si>
  <si>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</si>
  <si>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</si>
  <si>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</si>
  <si>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</si>
  <si>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</si>
  <si>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</si>
  <si>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</si>
  <si>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</si>
  <si>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</si>
  <si>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</si>
  <si>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</si>
  <si>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</si>
  <si>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</si>
  <si>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</si>
  <si>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</si>
  <si>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</si>
  <si>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</si>
  <si>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</si>
  <si>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</si>
  <si>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</si>
  <si>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</si>
  <si>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</si>
  <si>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</si>
  <si>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</si>
  <si>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</si>
  <si>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</si>
  <si>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</si>
  <si>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</si>
  <si>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</si>
  <si>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</si>
  <si>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</si>
  <si>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</si>
  <si>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</si>
  <si>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</si>
  <si>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</si>
  <si>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</si>
  <si>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</si>
  <si>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</si>
  <si>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</si>
  <si>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</si>
  <si>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</si>
  <si>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</si>
  <si>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</si>
  <si>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</si>
  <si>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</si>
  <si>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</si>
  <si>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</si>
  <si>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</si>
  <si>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</si>
  <si>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</si>
  <si>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</si>
  <si>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</si>
  <si>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</si>
  <si>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</si>
  <si>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</si>
  <si>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</si>
  <si>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</si>
  <si>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</si>
  <si>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</si>
  <si>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</si>
  <si>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</si>
  <si>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</si>
  <si>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</si>
  <si>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</si>
  <si>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</si>
  <si>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</si>
  <si>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</si>
  <si>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</si>
  <si>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</si>
  <si>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</si>
  <si>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</si>
  <si>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</si>
  <si>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</si>
  <si>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</si>
  <si>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</si>
  <si>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</si>
  <si>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</si>
  <si>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</si>
  <si>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</si>
  <si>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</si>
  <si>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</si>
  <si>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</si>
  <si>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</si>
  <si>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</si>
  <si>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</si>
  <si>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</si>
  <si>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</si>
  <si>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</si>
  <si>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</si>
  <si>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</si>
  <si>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</si>
  <si>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</si>
  <si>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</si>
  <si>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</si>
  <si>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</si>
  <si>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</si>
  <si>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</si>
  <si>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</si>
  <si>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</si>
  <si>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</si>
  <si>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</si>
  <si>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</si>
  <si>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</si>
  <si>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</si>
  <si>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</si>
  <si>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</si>
  <si>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</si>
  <si>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</si>
  <si>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</si>
  <si>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</si>
  <si>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</si>
  <si>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</si>
  <si>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</si>
  <si>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</si>
  <si>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</si>
  <si>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</si>
  <si>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</si>
  <si>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</si>
  <si>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</si>
  <si>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</si>
  <si>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</si>
  <si>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</si>
  <si>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</si>
  <si>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</si>
  <si>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</si>
  <si>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</si>
  <si>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</si>
  <si>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</si>
  <si>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</si>
  <si>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</si>
  <si>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</si>
  <si>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</si>
  <si>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</si>
  <si>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</si>
  <si>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</si>
  <si>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</si>
  <si>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</si>
  <si>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</si>
  <si>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</si>
  <si>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</si>
  <si>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</si>
  <si>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</si>
  <si>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</si>
  <si>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</si>
  <si>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</si>
  <si>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</si>
  <si>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</si>
  <si>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</si>
  <si>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</si>
  <si>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</si>
  <si>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</si>
  <si>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</si>
  <si>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</si>
  <si>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</si>
  <si>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</si>
  <si>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</si>
  <si>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</si>
  <si>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</si>
  <si>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</si>
  <si>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</si>
  <si>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</si>
  <si>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</si>
  <si>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</si>
  <si>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</si>
  <si>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</si>
  <si>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</si>
  <si>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</si>
  <si>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</si>
  <si>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</si>
  <si>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</si>
  <si>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</si>
  <si>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</si>
  <si>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</si>
  <si>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</si>
  <si>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</si>
  <si>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</si>
  <si>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</si>
  <si>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</si>
  <si>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</si>
  <si>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</si>
  <si>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</si>
  <si>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</si>
  <si>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</si>
  <si>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</si>
  <si>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</si>
  <si>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</si>
  <si>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</si>
  <si>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</si>
  <si>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</si>
  <si>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</si>
  <si>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</si>
  <si>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</si>
  <si>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</si>
  <si>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</si>
  <si>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</si>
  <si>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</si>
  <si>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</si>
  <si>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</si>
  <si>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</si>
  <si>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</si>
  <si>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</si>
  <si>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</si>
  <si>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</si>
  <si>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</si>
  <si>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</si>
  <si>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</si>
  <si>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</si>
  <si>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</si>
  <si>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</si>
  <si>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</si>
  <si>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</si>
  <si>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</si>
  <si>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</si>
  <si>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</si>
  <si>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</si>
  <si>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</si>
  <si>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</si>
  <si>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</si>
  <si>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</si>
  <si>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</si>
  <si>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</si>
  <si>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</si>
  <si>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</si>
  <si>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</si>
  <si>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</si>
  <si>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</si>
  <si>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</si>
  <si>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</si>
  <si>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</si>
  <si>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</si>
  <si>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</si>
  <si>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</si>
  <si>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</si>
  <si>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</si>
  <si>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</si>
  <si>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</si>
  <si>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</si>
  <si>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</si>
  <si>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</si>
  <si>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</si>
  <si>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</si>
  <si>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</si>
  <si>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</si>
  <si>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</si>
  <si>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</si>
  <si>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</si>
  <si>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</si>
  <si>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</si>
  <si>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</si>
  <si>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</si>
  <si>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</si>
  <si>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</si>
  <si>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</si>
  <si>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</si>
  <si>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</si>
  <si>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</si>
  <si>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</si>
  <si>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</si>
  <si>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</si>
  <si>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</si>
  <si>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</si>
  <si>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</si>
  <si>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</si>
  <si>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</si>
  <si>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</si>
  <si>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</si>
  <si>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</si>
  <si>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</si>
  <si>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</si>
  <si>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</si>
  <si>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</si>
  <si>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</si>
  <si>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</si>
  <si>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</si>
  <si>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</si>
  <si>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</si>
  <si>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</si>
  <si>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</si>
  <si>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</si>
  <si>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</si>
  <si>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</si>
  <si>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</si>
  <si>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</si>
  <si>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</si>
  <si>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</si>
  <si>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</si>
  <si>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</si>
  <si>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</si>
  <si>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</si>
  <si>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</si>
  <si>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</si>
  <si>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</si>
  <si>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</si>
  <si>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</si>
  <si>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</si>
  <si>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</si>
  <si>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</si>
  <si>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</si>
  <si>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</si>
  <si>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</si>
  <si>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</si>
  <si>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</si>
  <si>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</si>
  <si>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</si>
  <si>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</si>
  <si>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</si>
  <si>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</si>
  <si>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</si>
  <si>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</si>
  <si>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</si>
  <si>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</si>
  <si>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2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</si>
  <si>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</si>
  <si>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2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</si>
  <si>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</si>
  <si>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</si>
  <si>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</si>
  <si>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</si>
  <si>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2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</si>
  <si>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</si>
  <si>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</si>
  <si>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</si>
  <si>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</si>
  <si>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</si>
  <si>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</si>
  <si>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</si>
  <si>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</si>
  <si>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</si>
  <si>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</si>
  <si>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</si>
  <si>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</si>
  <si>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</si>
  <si>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</si>
  <si>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</si>
  <si>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</si>
  <si>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</si>
  <si>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</si>
  <si>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</si>
  <si>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</si>
  <si>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</si>
  <si>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</si>
  <si>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</si>
  <si>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</si>
  <si>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</si>
  <si>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</si>
  <si>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</si>
  <si>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</si>
  <si>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</si>
  <si>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</si>
  <si>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</si>
  <si>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</si>
  <si>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</si>
  <si>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</si>
  <si>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</si>
  <si>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</si>
  <si>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</si>
  <si>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</si>
  <si>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</si>
  <si>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</si>
  <si>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</si>
  <si>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</si>
  <si>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</si>
  <si>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</si>
  <si>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</si>
  <si>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</si>
  <si>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</si>
  <si>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</si>
  <si>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</si>
  <si>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</si>
  <si>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</si>
  <si>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</si>
  <si>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</si>
  <si>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</si>
  <si>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</si>
  <si>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</si>
  <si>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</si>
  <si>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</si>
  <si>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</si>
  <si>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</si>
  <si>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</si>
  <si>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</si>
  <si>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</si>
  <si>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YSi-V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</si>
  <si>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</si>
  <si>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</si>
  <si>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</si>
  <si>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</si>
  <si>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</si>
  <si>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</si>
  <si>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</si>
  <si>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</si>
  <si>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</si>
  <si>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</si>
  <si>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</si>
  <si>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</si>
  <si>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</si>
  <si>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</si>
  <si>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</si>
  <si>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</si>
  <si>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</si>
  <si>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</si>
  <si>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</si>
  <si>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</si>
  <si>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</si>
  <si>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</si>
  <si>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</si>
  <si>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</si>
  <si>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</si>
  <si>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</si>
  <si>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</si>
  <si>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</si>
  <si>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</si>
  <si>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</si>
  <si>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</si>
  <si>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</si>
  <si>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</si>
  <si>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</si>
  <si>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</si>
  <si>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</si>
  <si>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</si>
  <si>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</si>
  <si>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</si>
  <si>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</si>
  <si>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</si>
  <si>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</si>
  <si>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</si>
  <si>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</si>
  <si>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</si>
  <si>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</si>
  <si>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</si>
  <si>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</si>
  <si>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</si>
  <si>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</si>
  <si>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</si>
  <si>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</si>
  <si>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</si>
  <si>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</si>
  <si>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</si>
  <si>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</si>
  <si>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</si>
  <si>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</si>
  <si>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</si>
  <si>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</si>
  <si>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</si>
  <si>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</si>
  <si>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</si>
  <si>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</si>
  <si>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</si>
  <si>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</si>
  <si>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</si>
  <si>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</si>
  <si>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</si>
  <si>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</si>
  <si>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</si>
  <si>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</si>
  <si>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</si>
  <si>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</si>
  <si>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</si>
  <si>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</si>
  <si>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</si>
  <si>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</si>
  <si>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</si>
  <si>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</si>
  <si>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</si>
  <si>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</si>
  <si>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</si>
  <si>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</si>
  <si>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</si>
  <si>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</si>
  <si>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</si>
  <si>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</si>
  <si>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</si>
  <si>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</si>
  <si>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</si>
  <si>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</si>
  <si>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</si>
  <si>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</si>
  <si>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</si>
  <si>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</si>
  <si>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</si>
  <si>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</si>
  <si>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</si>
  <si>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</si>
  <si>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</si>
  <si>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</si>
  <si>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</si>
  <si>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</si>
  <si>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</si>
  <si>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</si>
  <si>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</si>
  <si>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</si>
  <si>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</si>
  <si>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</si>
  <si>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</si>
  <si>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</si>
  <si>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</si>
  <si>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</si>
  <si>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</si>
  <si>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</si>
  <si>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</si>
  <si>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2023-4-18清关</t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</si>
  <si>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</si>
  <si>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</si>
  <si>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</si>
  <si>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</si>
  <si>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</si>
  <si>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</si>
  <si>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</si>
  <si>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</si>
  <si>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</si>
  <si>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</si>
  <si>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</si>
  <si>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</si>
  <si>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</si>
  <si>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</si>
  <si>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</si>
  <si>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</si>
  <si>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</si>
  <si>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</si>
  <si>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</si>
  <si>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</si>
  <si>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</si>
  <si>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</si>
  <si>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</si>
  <si>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JUN 23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</si>
  <si>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</si>
  <si>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</si>
  <si>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</si>
  <si>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</si>
  <si>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</si>
  <si>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</si>
  <si>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</si>
  <si>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</si>
  <si>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</si>
  <si>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</si>
  <si>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</si>
  <si>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</si>
  <si>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</si>
  <si>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</si>
  <si>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</si>
  <si>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</si>
  <si>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</si>
  <si>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</si>
  <si>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</si>
  <si>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</si>
  <si>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</si>
  <si>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</si>
  <si>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</si>
  <si>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</si>
  <si>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</si>
  <si>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</si>
  <si>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</si>
  <si>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</si>
  <si>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</si>
  <si>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</si>
  <si>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</si>
  <si>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</si>
  <si>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</si>
  <si>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</si>
  <si>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C28.</t>
  </si>
  <si>
    <t>C28.</t>
    <phoneticPr fontId="3" type="noConversion"/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</si>
  <si>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</si>
  <si>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</si>
  <si>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</si>
  <si>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</si>
  <si>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</si>
  <si>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</si>
  <si>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</si>
  <si>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</si>
  <si>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</si>
  <si>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</si>
  <si>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</si>
  <si>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</si>
  <si>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</si>
  <si>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</si>
  <si>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</si>
  <si>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</si>
  <si>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</si>
  <si>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</si>
  <si>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</si>
  <si>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</si>
  <si>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</si>
  <si>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</si>
  <si>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</si>
  <si>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</si>
  <si>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</si>
  <si>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</si>
  <si>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</si>
  <si>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</si>
  <si>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</si>
  <si>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</si>
  <si>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</si>
  <si>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</si>
  <si>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</si>
  <si>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</si>
  <si>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</si>
  <si>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</si>
  <si>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</si>
  <si>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</si>
  <si>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</si>
  <si>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</si>
  <si>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</si>
  <si>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</si>
  <si>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</si>
  <si>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</si>
  <si>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</si>
  <si>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</si>
  <si>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</si>
  <si>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</si>
  <si>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</si>
  <si>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</si>
  <si>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</si>
  <si>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</si>
  <si>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</si>
  <si>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</si>
  <si>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</si>
  <si>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Y66817</t>
  </si>
  <si>
    <t>Y66768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</si>
  <si>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</si>
  <si>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</si>
  <si>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</si>
  <si>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</si>
  <si>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</si>
  <si>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</si>
  <si>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</si>
  <si>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</si>
  <si>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</si>
  <si>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</si>
  <si>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</si>
  <si>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</si>
  <si>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</si>
  <si>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</si>
  <si>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</si>
  <si>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</si>
  <si>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</si>
  <si>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</si>
  <si>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</si>
  <si>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OCT 23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</si>
  <si>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</si>
  <si>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</si>
  <si>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</si>
  <si>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</si>
  <si>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</si>
  <si>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</si>
  <si>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</si>
  <si>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</si>
  <si>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</si>
  <si>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</si>
  <si>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</si>
  <si>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</si>
  <si>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</si>
  <si>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</si>
  <si>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</si>
  <si>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</si>
  <si>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</si>
  <si>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</si>
  <si>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</si>
  <si>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</si>
  <si>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</si>
  <si>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</si>
  <si>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</si>
  <si>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</si>
  <si>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</si>
  <si>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</si>
  <si>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</si>
  <si>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</si>
  <si>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</si>
  <si>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</si>
  <si>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</si>
  <si>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</si>
  <si>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</si>
  <si>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</si>
  <si>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</si>
  <si>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</si>
  <si>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</si>
  <si>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</si>
  <si>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</si>
  <si>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</si>
  <si>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</si>
  <si>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</si>
  <si>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</si>
  <si>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</si>
  <si>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</si>
  <si>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已经扣数</t>
    <phoneticPr fontId="3" type="noConversion"/>
  </si>
  <si>
    <t>益田C49SZX20230093SX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</si>
  <si>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</si>
  <si>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</si>
  <si>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</si>
  <si>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</si>
  <si>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</si>
  <si>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</si>
  <si>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</si>
  <si>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</si>
  <si>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</si>
  <si>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</si>
  <si>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</si>
  <si>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</si>
  <si>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</si>
  <si>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</si>
  <si>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</si>
  <si>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</si>
  <si>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</si>
  <si>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</si>
  <si>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</si>
  <si>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</si>
  <si>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</si>
  <si>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</si>
  <si>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</si>
  <si>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</si>
  <si>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</si>
  <si>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</si>
  <si>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</si>
  <si>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</si>
  <si>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</si>
  <si>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</si>
  <si>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</si>
  <si>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</si>
  <si>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</si>
  <si>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</si>
  <si>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</si>
  <si>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</si>
  <si>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</si>
  <si>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</si>
  <si>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</si>
  <si>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</si>
  <si>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</si>
  <si>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</si>
  <si>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</si>
  <si>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</si>
  <si>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</si>
  <si>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Y67129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</si>
  <si>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</si>
  <si>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</si>
  <si>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</si>
  <si>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</si>
  <si>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</si>
  <si>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</si>
  <si>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</si>
  <si>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</si>
  <si>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</si>
  <si>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</si>
  <si>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</si>
  <si>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</si>
  <si>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</si>
  <si>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</si>
  <si>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</si>
  <si>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</si>
  <si>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</si>
  <si>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</si>
  <si>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</si>
  <si>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</si>
  <si>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</si>
  <si>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</si>
  <si>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</si>
  <si>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</si>
  <si>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</si>
  <si>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</si>
  <si>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</si>
  <si>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</si>
  <si>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</si>
  <si>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</si>
  <si>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</si>
  <si>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</si>
  <si>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</si>
  <si>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</si>
  <si>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</si>
  <si>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</si>
  <si>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</si>
  <si>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</si>
  <si>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</si>
  <si>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</si>
  <si>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</si>
  <si>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</si>
  <si>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</si>
  <si>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</si>
  <si>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</si>
  <si>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</si>
  <si>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</si>
  <si>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</si>
  <si>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</si>
  <si>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</si>
  <si>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</si>
  <si>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</si>
  <si>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</si>
  <si>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</si>
  <si>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</si>
  <si>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</si>
  <si>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</si>
  <si>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</si>
  <si>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</si>
  <si>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</si>
  <si>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</si>
  <si>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</si>
  <si>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</si>
  <si>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</si>
  <si>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</si>
  <si>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</si>
  <si>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</si>
  <si>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</si>
  <si>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</si>
  <si>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</si>
  <si>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</si>
  <si>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</si>
  <si>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</si>
  <si>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</si>
  <si>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</si>
  <si>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</si>
  <si>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</si>
  <si>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</si>
  <si>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</si>
  <si>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 xml:space="preserve"> </t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</si>
  <si>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</si>
  <si>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</si>
  <si>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</si>
  <si>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</si>
  <si>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</si>
  <si>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</si>
  <si>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</si>
  <si>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</si>
  <si>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</si>
  <si>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</si>
  <si>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</si>
  <si>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</si>
  <si>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</si>
  <si>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</si>
  <si>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</si>
  <si>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</si>
  <si>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</si>
  <si>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</si>
  <si>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</si>
  <si>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</si>
  <si>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</si>
  <si>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</si>
  <si>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FEB 24</t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</si>
  <si>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</si>
  <si>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</si>
  <si>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</si>
  <si>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</si>
  <si>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</si>
  <si>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</si>
  <si>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</si>
  <si>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</si>
  <si>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</si>
  <si>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</si>
  <si>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</si>
  <si>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</si>
  <si>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</si>
  <si>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</si>
  <si>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</si>
  <si>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</si>
  <si>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</si>
  <si>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</si>
  <si>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</si>
  <si>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</si>
  <si>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</si>
  <si>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</si>
  <si>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</si>
  <si>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</si>
  <si>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</si>
  <si>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</si>
  <si>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</si>
  <si>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</si>
  <si>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</si>
  <si>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</si>
  <si>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</si>
  <si>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</si>
  <si>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</si>
  <si>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</si>
  <si>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</si>
  <si>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</si>
  <si>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</si>
  <si>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</si>
  <si>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</si>
  <si>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</si>
  <si>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</si>
  <si>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</si>
  <si>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</si>
  <si>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</si>
  <si>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</si>
  <si>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</si>
  <si>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</si>
  <si>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</si>
  <si>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</si>
  <si>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</si>
  <si>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</si>
  <si>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</si>
  <si>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</si>
  <si>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</si>
  <si>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Y68129</t>
  </si>
  <si>
    <t>Y68130</t>
  </si>
  <si>
    <t>Y68131</t>
  </si>
  <si>
    <t>Y68132</t>
  </si>
  <si>
    <t>Y67969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</si>
  <si>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</si>
  <si>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</si>
  <si>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</si>
  <si>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</si>
  <si>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</si>
  <si>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</si>
  <si>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</si>
  <si>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</si>
  <si>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</si>
  <si>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</si>
  <si>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</si>
  <si>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</si>
  <si>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</si>
  <si>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</si>
  <si>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</si>
  <si>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</si>
  <si>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</si>
  <si>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</si>
  <si>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</si>
  <si>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</si>
  <si>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</si>
  <si>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</si>
  <si>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</si>
  <si>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</si>
  <si>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</si>
  <si>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</si>
  <si>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</si>
  <si>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</si>
  <si>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</si>
  <si>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</si>
  <si>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</si>
  <si>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</si>
  <si>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</si>
  <si>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</si>
  <si>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</si>
  <si>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</si>
  <si>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</si>
  <si>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</si>
  <si>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</si>
  <si>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</si>
  <si>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</si>
  <si>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</si>
  <si>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</si>
  <si>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</si>
  <si>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</si>
  <si>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</si>
  <si>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</si>
  <si>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</si>
  <si>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</si>
  <si>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</si>
  <si>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</si>
  <si>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</si>
  <si>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</si>
  <si>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</si>
  <si>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</si>
  <si>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</si>
  <si>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</si>
  <si>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</si>
  <si>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</si>
  <si>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</si>
  <si>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</si>
  <si>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</si>
  <si>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</si>
  <si>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</si>
  <si>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</si>
  <si>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</si>
  <si>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</si>
  <si>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</si>
  <si>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</si>
  <si>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</si>
  <si>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</si>
  <si>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</si>
  <si>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</si>
  <si>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</si>
  <si>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</si>
  <si>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</si>
  <si>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</si>
  <si>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</si>
  <si>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Machine_QTY</t>
    <phoneticPr fontId="3" type="noConversion"/>
  </si>
  <si>
    <t>ETA_MONTH</t>
    <phoneticPr fontId="3" type="noConversion"/>
  </si>
  <si>
    <t>Delivery_Status</t>
  </si>
  <si>
    <t>Stock_Status</t>
  </si>
  <si>
    <t>客戶送貨期</t>
    <phoneticPr fontId="3" type="noConversion"/>
  </si>
  <si>
    <t>YAMAHA交期</t>
    <phoneticPr fontId="3" type="noConversion"/>
  </si>
  <si>
    <t>Customer_Reserved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</si>
</sst>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&quot;¥&quot;#,##0;[Red]&quot;¥&quot;\-#,##0"/>
    <numFmt numFmtId="165" formatCode="_ * #,##0_ ;_ * \-#,##0_ ;_ * &quot;-&quot;_ ;_ @_ "/>
    <numFmt numFmtId="166" formatCode="_ * #,##0.00_ ;_ * \-#,##0.00_ ;_ * &quot;-&quot;??_ ;_ @_ "/>
    <numFmt numFmtId="167" formatCode="m/d;@"/>
    <numFmt numFmtId="168" formatCode="0_);[Red]\(0\)"/>
    <numFmt numFmtId="169" formatCode="0_ ;[Red]\-0\ "/>
    <numFmt numFmtId="170" formatCode="[$-409]d\-mmm;@"/>
    <numFmt numFmtId="171" formatCode="[$-F800]dddd\,\ mmmm\ dd\,\ yyyy"/>
    <numFmt numFmtId="172" formatCode="[$-409]mmm\-yy;@"/>
    <numFmt numFmtId="173" formatCode="_ * #,##0_ ;_ * \-#,##0_ ;_ * &quot;-&quot;??_ ;_ @_ "/>
    <numFmt numFmtId="174" formatCode="yyyy&quot;年&quot;m&quot;月&quot;;@"/>
  </numFmts>
  <fonts count="15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Arial"/>
      <family val="2"/>
    </font>
    <font>
      <sz val="9"/>
      <name val="Calibri"/>
      <family val="2"/>
      <charset val="134"/>
      <scheme val="minor"/>
    </font>
    <font>
      <sz val="11"/>
      <color theme="0"/>
      <name val="Arial"/>
      <family val="2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Calibri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Calibri"/>
      <family val="2"/>
      <scheme val="minor"/>
    </font>
    <font>
      <sz val="11"/>
      <name val="ＭＳ 明朝"/>
      <family val="1"/>
      <charset val="128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0"/>
      <name val="Arial"/>
      <family val="2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3"/>
      <charset val="134"/>
      <scheme val="minor"/>
    </font>
    <font>
      <sz val="8"/>
      <color theme="1"/>
      <name val="宋体"/>
      <family val="3"/>
      <charset val="134"/>
    </font>
    <font>
      <sz val="9"/>
      <color theme="1"/>
      <name val="Arial"/>
      <family val="2"/>
      <charset val="134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Calibri"/>
      <family val="2"/>
      <charset val="136"/>
      <scheme val="minor"/>
    </font>
    <font>
      <sz val="11"/>
      <name val="Calibri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Calibri"/>
      <family val="2"/>
      <charset val="134"/>
      <scheme val="minor"/>
    </font>
    <font>
      <sz val="11"/>
      <color theme="0"/>
      <name val="Calibri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8"/>
      <color rgb="FFFF0000"/>
      <name val="等线"/>
      <family val="2"/>
      <charset val="134"/>
    </font>
  </fonts>
  <fills count="4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66" fontId="1" fillId="0" borderId="0" applyFont="0" applyFill="0" applyBorder="0" applyAlignment="0" applyProtection="0">
      <alignment vertical="center"/>
    </xf>
    <xf numFmtId="170" fontId="40" fillId="0" borderId="0">
      <alignment vertical="center"/>
    </xf>
    <xf numFmtId="170" fontId="41" fillId="0" borderId="0"/>
    <xf numFmtId="170" fontId="45" fillId="15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5" fillId="18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6" fillId="19" borderId="0" applyNumberFormat="0" applyBorder="0" applyAlignment="0" applyProtection="0">
      <alignment vertical="center"/>
    </xf>
    <xf numFmtId="170" fontId="46" fillId="22" borderId="0" applyNumberFormat="0" applyBorder="0" applyAlignment="0" applyProtection="0">
      <alignment vertical="center"/>
    </xf>
    <xf numFmtId="170" fontId="46" fillId="23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170" fontId="46" fillId="19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170" fontId="46" fillId="22" borderId="0" applyNumberFormat="0" applyBorder="0" applyAlignment="0" applyProtection="0">
      <alignment vertical="center"/>
    </xf>
    <xf numFmtId="170" fontId="46" fillId="23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170" fontId="46" fillId="26" borderId="0" applyNumberFormat="0" applyBorder="0" applyAlignment="0" applyProtection="0">
      <alignment vertical="center"/>
    </xf>
    <xf numFmtId="170" fontId="46" fillId="27" borderId="0" applyNumberFormat="0" applyBorder="0" applyAlignment="0" applyProtection="0">
      <alignment vertical="center"/>
    </xf>
    <xf numFmtId="170" fontId="47" fillId="0" borderId="0" applyNumberFormat="0" applyFill="0" applyBorder="0" applyAlignment="0" applyProtection="0">
      <alignment vertical="center"/>
    </xf>
    <xf numFmtId="170" fontId="48" fillId="28" borderId="52" applyNumberFormat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1" fillId="17" borderId="53" applyNumberFormat="0" applyFont="0" applyAlignment="0" applyProtection="0">
      <alignment vertical="center"/>
    </xf>
    <xf numFmtId="170" fontId="43" fillId="0" borderId="54" applyNumberFormat="0" applyFill="0" applyAlignment="0" applyProtection="0">
      <alignment vertical="center"/>
    </xf>
    <xf numFmtId="170" fontId="50" fillId="29" borderId="0" applyNumberFormat="0" applyBorder="0" applyAlignment="0" applyProtection="0">
      <alignment vertical="center"/>
    </xf>
    <xf numFmtId="170" fontId="44" fillId="30" borderId="55" applyNumberFormat="0" applyAlignment="0" applyProtection="0">
      <alignment vertical="center"/>
    </xf>
    <xf numFmtId="170" fontId="43" fillId="0" borderId="0" applyNumberFormat="0" applyFill="0" applyBorder="0" applyAlignment="0" applyProtection="0">
      <alignment vertical="center"/>
    </xf>
    <xf numFmtId="170" fontId="51" fillId="0" borderId="56" applyNumberFormat="0" applyFill="0" applyAlignment="0" applyProtection="0">
      <alignment vertical="center"/>
    </xf>
    <xf numFmtId="170" fontId="52" fillId="0" borderId="57" applyNumberFormat="0" applyFill="0" applyAlignment="0" applyProtection="0">
      <alignment vertical="center"/>
    </xf>
    <xf numFmtId="170" fontId="53" fillId="0" borderId="58" applyNumberFormat="0" applyFill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170" fontId="54" fillId="0" borderId="59" applyNumberFormat="0" applyFill="0" applyAlignment="0" applyProtection="0">
      <alignment vertical="center"/>
    </xf>
    <xf numFmtId="170" fontId="55" fillId="30" borderId="60" applyNumberFormat="0" applyAlignment="0" applyProtection="0">
      <alignment vertical="center"/>
    </xf>
    <xf numFmtId="170" fontId="56" fillId="0" borderId="0" applyNumberFormat="0" applyFill="0" applyBorder="0" applyAlignment="0" applyProtection="0">
      <alignment vertical="center"/>
    </xf>
    <xf numFmtId="164" fontId="41" fillId="0" borderId="0" applyFont="0" applyFill="0" applyBorder="0" applyAlignment="0" applyProtection="0"/>
    <xf numFmtId="170" fontId="57" fillId="20" borderId="55" applyNumberFormat="0" applyAlignment="0" applyProtection="0">
      <alignment vertical="center"/>
    </xf>
    <xf numFmtId="170" fontId="42" fillId="0" borderId="0"/>
    <xf numFmtId="170" fontId="58" fillId="19" borderId="0" applyNumberFormat="0" applyBorder="0" applyAlignment="0" applyProtection="0">
      <alignment vertical="center"/>
    </xf>
    <xf numFmtId="170" fontId="11" fillId="0" borderId="0"/>
    <xf numFmtId="170" fontId="1" fillId="0" borderId="0">
      <alignment vertical="center"/>
    </xf>
    <xf numFmtId="171" fontId="59" fillId="0" borderId="0"/>
    <xf numFmtId="171" fontId="60" fillId="0" borderId="0">
      <alignment vertical="center"/>
    </xf>
    <xf numFmtId="171" fontId="61" fillId="0" borderId="0"/>
    <xf numFmtId="171" fontId="62" fillId="0" borderId="0" applyNumberFormat="0" applyFill="0" applyBorder="0" applyAlignment="0" applyProtection="0"/>
    <xf numFmtId="0" fontId="63" fillId="0" borderId="0"/>
    <xf numFmtId="0" fontId="40" fillId="0" borderId="0">
      <alignment vertical="center"/>
    </xf>
    <xf numFmtId="0" fontId="41" fillId="0" borderId="0"/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8" borderId="52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1" fillId="17" borderId="53" applyNumberFormat="0" applyFont="0" applyAlignment="0" applyProtection="0">
      <alignment vertical="center"/>
    </xf>
    <xf numFmtId="0" fontId="43" fillId="0" borderId="5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4" fillId="30" borderId="55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0" borderId="56" applyNumberFormat="0" applyFill="0" applyAlignment="0" applyProtection="0">
      <alignment vertical="center"/>
    </xf>
    <xf numFmtId="0" fontId="52" fillId="0" borderId="57" applyNumberFormat="0" applyFill="0" applyAlignment="0" applyProtection="0">
      <alignment vertical="center"/>
    </xf>
    <xf numFmtId="0" fontId="53" fillId="0" borderId="58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59" applyNumberFormat="0" applyFill="0" applyAlignment="0" applyProtection="0">
      <alignment vertical="center"/>
    </xf>
    <xf numFmtId="0" fontId="55" fillId="30" borderId="60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64" fontId="41" fillId="0" borderId="0" applyFont="0" applyFill="0" applyBorder="0" applyAlignment="0" applyProtection="0"/>
    <xf numFmtId="0" fontId="57" fillId="20" borderId="55" applyNumberFormat="0" applyAlignment="0" applyProtection="0">
      <alignment vertical="center"/>
    </xf>
    <xf numFmtId="0" fontId="42" fillId="0" borderId="0"/>
    <xf numFmtId="0" fontId="58" fillId="19" borderId="0" applyNumberFormat="0" applyBorder="0" applyAlignment="0" applyProtection="0">
      <alignment vertical="center"/>
    </xf>
    <xf numFmtId="0" fontId="90" fillId="0" borderId="0"/>
    <xf numFmtId="38" fontId="41" fillId="0" borderId="0" applyFont="0" applyFill="0" applyBorder="0" applyAlignment="0" applyProtection="0"/>
    <xf numFmtId="38" fontId="90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11" fillId="0" borderId="0"/>
    <xf numFmtId="0" fontId="101" fillId="0" borderId="0"/>
    <xf numFmtId="0" fontId="90" fillId="0" borderId="0"/>
    <xf numFmtId="0" fontId="101" fillId="0" borderId="0"/>
    <xf numFmtId="0" fontId="11" fillId="0" borderId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101" fillId="0" borderId="0">
      <alignment vertical="center"/>
    </xf>
    <xf numFmtId="0" fontId="107" fillId="33" borderId="0" applyNumberFormat="0" applyBorder="0" applyAlignment="0" applyProtection="0"/>
    <xf numFmtId="0" fontId="107" fillId="21" borderId="0" applyNumberFormat="0" applyBorder="0" applyAlignment="0" applyProtection="0"/>
    <xf numFmtId="0" fontId="107" fillId="34" borderId="0" applyNumberFormat="0" applyBorder="0" applyAlignment="0" applyProtection="0"/>
    <xf numFmtId="0" fontId="107" fillId="29" borderId="0" applyNumberFormat="0" applyBorder="0" applyAlignment="0" applyProtection="0"/>
    <xf numFmtId="0" fontId="107" fillId="19" borderId="0" applyNumberFormat="0" applyBorder="0" applyAlignment="0" applyProtection="0"/>
    <xf numFmtId="0" fontId="107" fillId="18" borderId="0" applyNumberFormat="0" applyBorder="0" applyAlignment="0" applyProtection="0"/>
    <xf numFmtId="0" fontId="107" fillId="15" borderId="0" applyNumberFormat="0" applyBorder="0" applyAlignment="0" applyProtection="0"/>
    <xf numFmtId="0" fontId="107" fillId="16" borderId="0" applyNumberFormat="0" applyBorder="0" applyAlignment="0" applyProtection="0"/>
    <xf numFmtId="0" fontId="107" fillId="35" borderId="0" applyNumberFormat="0" applyBorder="0" applyAlignment="0" applyProtection="0"/>
    <xf numFmtId="0" fontId="107" fillId="29" borderId="0" applyNumberFormat="0" applyBorder="0" applyAlignment="0" applyProtection="0"/>
    <xf numFmtId="0" fontId="107" fillId="15" borderId="0" applyNumberFormat="0" applyBorder="0" applyAlignment="0" applyProtection="0"/>
    <xf numFmtId="0" fontId="107" fillId="23" borderId="0" applyNumberFormat="0" applyBorder="0" applyAlignment="0" applyProtection="0"/>
    <xf numFmtId="0" fontId="108" fillId="36" borderId="0" applyNumberFormat="0" applyBorder="0" applyAlignment="0" applyProtection="0"/>
    <xf numFmtId="0" fontId="108" fillId="16" borderId="0" applyNumberFormat="0" applyBorder="0" applyAlignment="0" applyProtection="0"/>
    <xf numFmtId="0" fontId="108" fillId="35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38" borderId="0" applyNumberFormat="0" applyBorder="0" applyAlignment="0" applyProtection="0"/>
    <xf numFmtId="0" fontId="108" fillId="39" borderId="0" applyNumberFormat="0" applyBorder="0" applyAlignment="0" applyProtection="0"/>
    <xf numFmtId="0" fontId="108" fillId="27" borderId="0" applyNumberFormat="0" applyBorder="0" applyAlignment="0" applyProtection="0"/>
    <xf numFmtId="0" fontId="108" fillId="40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22" borderId="0" applyNumberFormat="0" applyBorder="0" applyAlignment="0" applyProtection="0"/>
    <xf numFmtId="0" fontId="109" fillId="21" borderId="0" applyNumberFormat="0" applyBorder="0" applyAlignment="0" applyProtection="0"/>
    <xf numFmtId="0" fontId="110" fillId="41" borderId="55" applyNumberFormat="0" applyAlignment="0" applyProtection="0"/>
    <xf numFmtId="0" fontId="111" fillId="28" borderId="52" applyNumberFormat="0" applyAlignment="0" applyProtection="0"/>
    <xf numFmtId="0" fontId="112" fillId="0" borderId="0" applyNumberFormat="0" applyFill="0" applyBorder="0" applyAlignment="0" applyProtection="0"/>
    <xf numFmtId="0" fontId="113" fillId="34" borderId="0" applyNumberFormat="0" applyBorder="0" applyAlignment="0" applyProtection="0"/>
    <xf numFmtId="0" fontId="114" fillId="0" borderId="64" applyNumberFormat="0" applyFill="0" applyAlignment="0" applyProtection="0"/>
    <xf numFmtId="0" fontId="115" fillId="0" borderId="65" applyNumberFormat="0" applyFill="0" applyAlignment="0" applyProtection="0"/>
    <xf numFmtId="0" fontId="116" fillId="0" borderId="66" applyNumberFormat="0" applyFill="0" applyAlignment="0" applyProtection="0"/>
    <xf numFmtId="0" fontId="116" fillId="0" borderId="0" applyNumberFormat="0" applyFill="0" applyBorder="0" applyAlignment="0" applyProtection="0"/>
    <xf numFmtId="0" fontId="117" fillId="18" borderId="55" applyNumberFormat="0" applyAlignment="0" applyProtection="0"/>
    <xf numFmtId="0" fontId="118" fillId="0" borderId="67" applyNumberFormat="0" applyFill="0" applyAlignment="0" applyProtection="0"/>
    <xf numFmtId="0" fontId="119" fillId="20" borderId="0" applyNumberFormat="0" applyBorder="0" applyAlignment="0" applyProtection="0"/>
    <xf numFmtId="0" fontId="11" fillId="17" borderId="53" applyNumberFormat="0" applyFont="0" applyAlignment="0" applyProtection="0"/>
    <xf numFmtId="0" fontId="120" fillId="41" borderId="60" applyNumberFormat="0" applyAlignment="0" applyProtection="0"/>
    <xf numFmtId="0" fontId="121" fillId="0" borderId="0" applyNumberFormat="0" applyFill="0" applyBorder="0" applyAlignment="0" applyProtection="0"/>
    <xf numFmtId="0" fontId="122" fillId="0" borderId="68" applyNumberFormat="0" applyFill="0" applyAlignment="0" applyProtection="0"/>
    <xf numFmtId="0" fontId="123" fillId="0" borderId="0" applyNumberFormat="0" applyFill="0" applyBorder="0" applyAlignment="0" applyProtection="0"/>
    <xf numFmtId="9" fontId="124" fillId="0" borderId="0" applyFont="0" applyFill="0" applyBorder="0" applyAlignment="0" applyProtection="0"/>
    <xf numFmtId="0" fontId="11" fillId="0" borderId="0"/>
    <xf numFmtId="165" fontId="11" fillId="0" borderId="0" applyFont="0" applyFill="0" applyBorder="0" applyAlignment="0" applyProtection="0"/>
    <xf numFmtId="0" fontId="133" fillId="0" borderId="0"/>
  </cellStyleXfs>
  <cellXfs count="668">
    <xf numFmtId="0" fontId="0" fillId="0" borderId="0" xfId="0">
      <alignment vertical="center"/>
    </xf>
    <xf numFmtId="170" fontId="2" fillId="0" borderId="0" xfId="0" applyNumberFormat="1" applyFont="1">
      <alignment vertical="center"/>
    </xf>
    <xf numFmtId="170" fontId="4" fillId="2" borderId="0" xfId="0" applyNumberFormat="1" applyFont="1" applyFill="1">
      <alignment vertical="center"/>
    </xf>
    <xf numFmtId="170" fontId="6" fillId="0" borderId="0" xfId="0" applyNumberFormat="1" applyFont="1">
      <alignment vertical="center"/>
    </xf>
    <xf numFmtId="14" fontId="8" fillId="0" borderId="2" xfId="0" applyNumberFormat="1" applyFont="1" applyBorder="1" applyAlignment="1">
      <alignment horizontal="left" vertical="center"/>
    </xf>
    <xf numFmtId="170" fontId="10" fillId="0" borderId="2" xfId="0" applyNumberFormat="1" applyFont="1" applyBorder="1" applyAlignment="1">
      <alignment horizontal="center"/>
    </xf>
    <xf numFmtId="14" fontId="11" fillId="0" borderId="2" xfId="0" applyNumberFormat="1" applyFont="1" applyBorder="1" applyAlignment="1">
      <alignment horizontal="left" vertical="center"/>
    </xf>
    <xf numFmtId="170" fontId="13" fillId="0" borderId="0" xfId="0" applyNumberFormat="1" applyFont="1">
      <alignment vertical="center"/>
    </xf>
    <xf numFmtId="14" fontId="8" fillId="0" borderId="11" xfId="0" applyNumberFormat="1" applyFont="1" applyBorder="1" applyAlignment="1">
      <alignment horizontal="left" vertical="center"/>
    </xf>
    <xf numFmtId="14" fontId="23" fillId="0" borderId="2" xfId="0" applyNumberFormat="1" applyFont="1" applyBorder="1" applyAlignment="1">
      <alignment horizontal="left" vertical="center"/>
    </xf>
    <xf numFmtId="14" fontId="24" fillId="0" borderId="2" xfId="0" applyNumberFormat="1" applyFont="1" applyBorder="1" applyAlignment="1">
      <alignment horizontal="left" vertical="center"/>
    </xf>
    <xf numFmtId="14" fontId="23" fillId="0" borderId="11" xfId="0" applyNumberFormat="1" applyFont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70" fontId="2" fillId="0" borderId="0" xfId="0" quotePrefix="1" applyNumberFormat="1" applyFont="1">
      <alignment vertical="center"/>
    </xf>
    <xf numFmtId="14" fontId="22" fillId="0" borderId="2" xfId="0" applyNumberFormat="1" applyFont="1" applyBorder="1" applyAlignment="1">
      <alignment horizontal="left" vertical="center"/>
    </xf>
    <xf numFmtId="170" fontId="0" fillId="0" borderId="0" xfId="0" applyNumberFormat="1" applyAlignment="1"/>
    <xf numFmtId="170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0" fontId="2" fillId="0" borderId="0" xfId="0" applyNumberFormat="1" applyFont="1" applyAlignment="1">
      <alignment horizontal="right" vertical="center"/>
    </xf>
    <xf numFmtId="170" fontId="17" fillId="9" borderId="2" xfId="0" applyNumberFormat="1" applyFont="1" applyFill="1" applyBorder="1" applyAlignment="1">
      <alignment horizontal="right" vertical="center"/>
    </xf>
    <xf numFmtId="170" fontId="17" fillId="10" borderId="2" xfId="0" applyNumberFormat="1" applyFont="1" applyFill="1" applyBorder="1">
      <alignment vertical="center"/>
    </xf>
    <xf numFmtId="170" fontId="17" fillId="11" borderId="2" xfId="0" applyNumberFormat="1" applyFont="1" applyFill="1" applyBorder="1">
      <alignment vertical="center"/>
    </xf>
    <xf numFmtId="170" fontId="2" fillId="9" borderId="2" xfId="0" applyNumberFormat="1" applyFont="1" applyFill="1" applyBorder="1" applyAlignment="1">
      <alignment horizontal="right" vertical="center"/>
    </xf>
    <xf numFmtId="170" fontId="2" fillId="10" borderId="2" xfId="0" applyNumberFormat="1" applyFont="1" applyFill="1" applyBorder="1" applyAlignment="1">
      <alignment horizontal="right" vertical="center"/>
    </xf>
    <xf numFmtId="170" fontId="2" fillId="11" borderId="2" xfId="0" applyNumberFormat="1" applyFont="1" applyFill="1" applyBorder="1" applyAlignment="1">
      <alignment horizontal="right" vertical="center"/>
    </xf>
    <xf numFmtId="170" fontId="2" fillId="9" borderId="22" xfId="0" applyNumberFormat="1" applyFont="1" applyFill="1" applyBorder="1" applyAlignment="1">
      <alignment horizontal="right" vertical="center"/>
    </xf>
    <xf numFmtId="170" fontId="17" fillId="9" borderId="21" xfId="0" applyNumberFormat="1" applyFont="1" applyFill="1" applyBorder="1" applyAlignment="1">
      <alignment horizontal="right" vertical="center"/>
    </xf>
    <xf numFmtId="170" fontId="17" fillId="9" borderId="23" xfId="0" applyNumberFormat="1" applyFont="1" applyFill="1" applyBorder="1" applyAlignment="1">
      <alignment horizontal="right" vertical="center"/>
    </xf>
    <xf numFmtId="170" fontId="17" fillId="10" borderId="22" xfId="0" applyNumberFormat="1" applyFont="1" applyFill="1" applyBorder="1" applyAlignment="1">
      <alignment horizontal="right" vertical="center"/>
    </xf>
    <xf numFmtId="170" fontId="17" fillId="10" borderId="23" xfId="0" applyNumberFormat="1" applyFont="1" applyFill="1" applyBorder="1" applyAlignment="1">
      <alignment horizontal="right" vertical="center"/>
    </xf>
    <xf numFmtId="170" fontId="17" fillId="11" borderId="18" xfId="0" applyNumberFormat="1" applyFont="1" applyFill="1" applyBorder="1" applyAlignment="1">
      <alignment horizontal="right" vertical="center"/>
    </xf>
    <xf numFmtId="170" fontId="2" fillId="9" borderId="15" xfId="0" applyNumberFormat="1" applyFont="1" applyFill="1" applyBorder="1">
      <alignment vertical="center"/>
    </xf>
    <xf numFmtId="170" fontId="26" fillId="11" borderId="3" xfId="0" applyNumberFormat="1" applyFont="1" applyFill="1" applyBorder="1" applyAlignment="1">
      <alignment horizontal="center" vertical="center"/>
    </xf>
    <xf numFmtId="170" fontId="38" fillId="0" borderId="0" xfId="0" applyNumberFormat="1" applyFont="1" applyAlignment="1"/>
    <xf numFmtId="170" fontId="37" fillId="0" borderId="40" xfId="0" applyNumberFormat="1" applyFont="1" applyBorder="1" applyAlignment="1">
      <alignment horizontal="center" vertical="center"/>
    </xf>
    <xf numFmtId="170" fontId="37" fillId="0" borderId="39" xfId="0" applyNumberFormat="1" applyFont="1" applyBorder="1" applyAlignment="1">
      <alignment horizontal="left" vertical="center"/>
    </xf>
    <xf numFmtId="170" fontId="39" fillId="0" borderId="41" xfId="0" applyNumberFormat="1" applyFont="1" applyBorder="1" applyAlignment="1">
      <alignment horizontal="center" vertical="center"/>
    </xf>
    <xf numFmtId="170" fontId="39" fillId="0" borderId="40" xfId="0" applyNumberFormat="1" applyFont="1" applyBorder="1" applyAlignment="1">
      <alignment horizontal="center" vertical="center"/>
    </xf>
    <xf numFmtId="170" fontId="37" fillId="0" borderId="42" xfId="0" applyNumberFormat="1" applyFont="1" applyBorder="1" applyAlignment="1">
      <alignment horizontal="left" vertical="center"/>
    </xf>
    <xf numFmtId="170" fontId="37" fillId="0" borderId="43" xfId="0" applyNumberFormat="1" applyFont="1" applyBorder="1" applyAlignment="1">
      <alignment horizontal="center" vertical="center"/>
    </xf>
    <xf numFmtId="170" fontId="39" fillId="7" borderId="41" xfId="0" applyNumberFormat="1" applyFont="1" applyFill="1" applyBorder="1" applyAlignment="1">
      <alignment horizontal="center" vertical="center"/>
    </xf>
    <xf numFmtId="170" fontId="37" fillId="0" borderId="47" xfId="0" applyNumberFormat="1" applyFont="1" applyBorder="1" applyAlignment="1">
      <alignment horizontal="center" vertical="center"/>
    </xf>
    <xf numFmtId="170" fontId="37" fillId="0" borderId="49" xfId="0" applyNumberFormat="1" applyFont="1" applyBorder="1" applyAlignment="1">
      <alignment horizontal="left" vertical="center"/>
    </xf>
    <xf numFmtId="170" fontId="37" fillId="0" borderId="50" xfId="0" applyNumberFormat="1" applyFont="1" applyBorder="1" applyAlignment="1">
      <alignment horizontal="left" vertical="center"/>
    </xf>
    <xf numFmtId="170" fontId="2" fillId="12" borderId="0" xfId="0" applyNumberFormat="1" applyFont="1" applyFill="1">
      <alignment vertical="center"/>
    </xf>
    <xf numFmtId="170" fontId="2" fillId="7" borderId="0" xfId="0" applyNumberFormat="1" applyFont="1" applyFill="1">
      <alignment vertical="center"/>
    </xf>
    <xf numFmtId="170" fontId="2" fillId="4" borderId="0" xfId="0" applyNumberFormat="1" applyFont="1" applyFill="1">
      <alignment vertical="center"/>
    </xf>
    <xf numFmtId="170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13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17" fillId="0" borderId="16" xfId="0" applyFont="1" applyBorder="1">
      <alignment vertical="center"/>
    </xf>
    <xf numFmtId="0" fontId="17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17" fillId="9" borderId="27" xfId="0" applyFont="1" applyFill="1" applyBorder="1">
      <alignment vertical="center"/>
    </xf>
    <xf numFmtId="0" fontId="35" fillId="9" borderId="2" xfId="0" applyFont="1" applyFill="1" applyBorder="1">
      <alignment vertical="center"/>
    </xf>
    <xf numFmtId="0" fontId="17" fillId="0" borderId="27" xfId="0" applyFont="1" applyBorder="1">
      <alignment vertical="center"/>
    </xf>
    <xf numFmtId="0" fontId="36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0" fillId="0" borderId="0" xfId="0" applyFont="1">
      <alignment vertical="center"/>
    </xf>
    <xf numFmtId="0" fontId="27" fillId="3" borderId="0" xfId="0" applyFont="1" applyFill="1">
      <alignment vertical="center"/>
    </xf>
    <xf numFmtId="0" fontId="20" fillId="7" borderId="0" xfId="0" applyFont="1" applyFill="1">
      <alignment vertical="center"/>
    </xf>
    <xf numFmtId="0" fontId="20" fillId="4" borderId="0" xfId="0" applyFont="1" applyFill="1">
      <alignment vertical="center"/>
    </xf>
    <xf numFmtId="0" fontId="20" fillId="12" borderId="0" xfId="0" applyFont="1" applyFill="1">
      <alignment vertical="center"/>
    </xf>
    <xf numFmtId="0" fontId="17" fillId="0" borderId="0" xfId="0" applyFont="1">
      <alignment vertical="center"/>
    </xf>
    <xf numFmtId="0" fontId="21" fillId="0" borderId="0" xfId="0" applyFont="1">
      <alignment vertical="center"/>
    </xf>
    <xf numFmtId="0" fontId="19" fillId="12" borderId="2" xfId="0" applyFont="1" applyFill="1" applyBorder="1">
      <alignment vertical="center"/>
    </xf>
    <xf numFmtId="0" fontId="17" fillId="12" borderId="2" xfId="0" applyFont="1" applyFill="1" applyBorder="1">
      <alignment vertical="center"/>
    </xf>
    <xf numFmtId="0" fontId="34" fillId="12" borderId="2" xfId="0" applyFont="1" applyFill="1" applyBorder="1">
      <alignment vertical="center"/>
    </xf>
    <xf numFmtId="0" fontId="29" fillId="11" borderId="2" xfId="0" applyFont="1" applyFill="1" applyBorder="1">
      <alignment vertical="center"/>
    </xf>
    <xf numFmtId="0" fontId="17" fillId="12" borderId="27" xfId="0" applyFont="1" applyFill="1" applyBorder="1">
      <alignment vertical="center"/>
    </xf>
    <xf numFmtId="0" fontId="29" fillId="12" borderId="27" xfId="0" applyFont="1" applyFill="1" applyBorder="1">
      <alignment vertical="center"/>
    </xf>
    <xf numFmtId="0" fontId="29" fillId="11" borderId="27" xfId="0" applyFont="1" applyFill="1" applyBorder="1">
      <alignment vertical="center"/>
    </xf>
    <xf numFmtId="0" fontId="6" fillId="0" borderId="0" xfId="0" applyFont="1">
      <alignment vertical="center"/>
    </xf>
    <xf numFmtId="0" fontId="28" fillId="0" borderId="0" xfId="0" applyFont="1">
      <alignment vertical="center"/>
    </xf>
    <xf numFmtId="0" fontId="27" fillId="0" borderId="0" xfId="0" applyFont="1">
      <alignment vertical="center"/>
    </xf>
    <xf numFmtId="0" fontId="27" fillId="3" borderId="0" xfId="0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7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29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17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8" fillId="0" borderId="3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170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0" fontId="75" fillId="2" borderId="5" xfId="1" applyFont="1" applyFill="1" applyBorder="1" applyAlignment="1">
      <alignment horizontal="left" vertical="center" wrapText="1"/>
    </xf>
    <xf numFmtId="170" fontId="75" fillId="2" borderId="28" xfId="1" applyFont="1" applyFill="1" applyBorder="1" applyAlignment="1">
      <alignment horizontal="left" vertical="center" wrapText="1"/>
    </xf>
    <xf numFmtId="0" fontId="76" fillId="2" borderId="6" xfId="1" applyNumberFormat="1" applyFont="1" applyFill="1" applyBorder="1" applyAlignment="1">
      <alignment horizontal="left" vertical="center" wrapText="1"/>
    </xf>
    <xf numFmtId="14" fontId="76" fillId="2" borderId="6" xfId="1" applyNumberFormat="1" applyFont="1" applyFill="1" applyBorder="1" applyAlignment="1">
      <alignment horizontal="left" vertical="center" wrapText="1"/>
    </xf>
    <xf numFmtId="167" fontId="76" fillId="2" borderId="6" xfId="1" applyNumberFormat="1" applyFont="1" applyFill="1" applyBorder="1" applyAlignment="1">
      <alignment horizontal="left" vertical="center" wrapText="1"/>
    </xf>
    <xf numFmtId="0" fontId="77" fillId="3" borderId="6" xfId="1" applyNumberFormat="1" applyFont="1" applyFill="1" applyBorder="1" applyAlignment="1">
      <alignment horizontal="center" vertical="center" wrapText="1"/>
    </xf>
    <xf numFmtId="170" fontId="78" fillId="3" borderId="6" xfId="1" applyFont="1" applyFill="1" applyBorder="1" applyAlignment="1">
      <alignment horizontal="center" vertical="center" wrapText="1"/>
    </xf>
    <xf numFmtId="0" fontId="78" fillId="3" borderId="6" xfId="1" applyNumberFormat="1" applyFont="1" applyFill="1" applyBorder="1" applyAlignment="1">
      <alignment horizontal="center" vertical="center" wrapText="1"/>
    </xf>
    <xf numFmtId="14" fontId="78" fillId="3" borderId="6" xfId="1" applyNumberFormat="1" applyFont="1" applyFill="1" applyBorder="1" applyAlignment="1">
      <alignment horizontal="center" vertical="center" wrapText="1"/>
    </xf>
    <xf numFmtId="168" fontId="78" fillId="3" borderId="6" xfId="1" applyNumberFormat="1" applyFont="1" applyFill="1" applyBorder="1" applyAlignment="1">
      <alignment horizontal="center" vertical="center" wrapText="1"/>
    </xf>
    <xf numFmtId="169" fontId="77" fillId="3" borderId="6" xfId="1" applyNumberFormat="1" applyFont="1" applyFill="1" applyBorder="1" applyAlignment="1">
      <alignment horizontal="center" vertical="center" wrapText="1"/>
    </xf>
    <xf numFmtId="168" fontId="79" fillId="3" borderId="6" xfId="1" applyNumberFormat="1" applyFont="1" applyFill="1" applyBorder="1" applyAlignment="1">
      <alignment horizontal="center" vertical="center" wrapText="1"/>
    </xf>
    <xf numFmtId="170" fontId="79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0" fontId="4" fillId="0" borderId="2" xfId="1" applyFont="1" applyBorder="1" applyAlignment="1">
      <alignment horizontal="center" vertical="center"/>
    </xf>
    <xf numFmtId="170" fontId="22" fillId="6" borderId="8" xfId="1" applyFont="1" applyFill="1" applyBorder="1" applyAlignment="1">
      <alignment horizontal="left" vertical="center" wrapText="1"/>
    </xf>
    <xf numFmtId="170" fontId="22" fillId="6" borderId="4" xfId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 wrapText="1"/>
    </xf>
    <xf numFmtId="167" fontId="10" fillId="6" borderId="2" xfId="1" applyNumberFormat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/>
    </xf>
    <xf numFmtId="0" fontId="80" fillId="3" borderId="2" xfId="1" applyNumberFormat="1" applyFont="1" applyFill="1" applyBorder="1" applyAlignment="1">
      <alignment horizontal="center" vertical="center"/>
    </xf>
    <xf numFmtId="170" fontId="13" fillId="0" borderId="2" xfId="1" applyFont="1" applyBorder="1" applyAlignment="1">
      <alignment horizontal="center" vertical="center"/>
    </xf>
    <xf numFmtId="0" fontId="13" fillId="0" borderId="2" xfId="1" applyNumberFormat="1" applyFont="1" applyBorder="1" applyAlignment="1">
      <alignment horizontal="center" vertical="center"/>
    </xf>
    <xf numFmtId="14" fontId="13" fillId="0" borderId="2" xfId="1" applyNumberFormat="1" applyFont="1" applyBorder="1" applyAlignment="1">
      <alignment horizontal="center" vertical="center"/>
    </xf>
    <xf numFmtId="0" fontId="80" fillId="0" borderId="2" xfId="1" applyNumberFormat="1" applyFont="1" applyBorder="1" applyAlignment="1">
      <alignment horizontal="center" vertical="center"/>
    </xf>
    <xf numFmtId="170" fontId="80" fillId="0" borderId="2" xfId="1" applyFont="1" applyBorder="1" applyAlignment="1">
      <alignment horizontal="center" vertical="center"/>
    </xf>
    <xf numFmtId="169" fontId="80" fillId="0" borderId="2" xfId="1" applyNumberFormat="1" applyFont="1" applyBorder="1" applyAlignment="1">
      <alignment horizontal="center" vertical="center"/>
    </xf>
    <xf numFmtId="170" fontId="13" fillId="0" borderId="9" xfId="1" applyFont="1" applyBorder="1" applyAlignment="1">
      <alignment horizontal="center" vertical="center"/>
    </xf>
    <xf numFmtId="0" fontId="13" fillId="0" borderId="4" xfId="1" applyNumberFormat="1" applyFont="1" applyBorder="1" applyAlignment="1">
      <alignment horizontal="center" vertical="center"/>
    </xf>
    <xf numFmtId="170" fontId="22" fillId="6" borderId="8" xfId="1" applyFont="1" applyFill="1" applyBorder="1" applyAlignment="1">
      <alignment horizontal="left" vertical="center"/>
    </xf>
    <xf numFmtId="0" fontId="10" fillId="3" borderId="2" xfId="1" applyNumberFormat="1" applyFont="1" applyFill="1" applyBorder="1" applyAlignment="1">
      <alignment horizontal="center" vertical="center"/>
    </xf>
    <xf numFmtId="170" fontId="27" fillId="0" borderId="2" xfId="1" applyFont="1" applyBorder="1" applyAlignment="1">
      <alignment horizontal="center" vertical="center"/>
    </xf>
    <xf numFmtId="0" fontId="27" fillId="0" borderId="2" xfId="1" applyNumberFormat="1" applyFont="1" applyBorder="1" applyAlignment="1">
      <alignment horizontal="center" vertical="center"/>
    </xf>
    <xf numFmtId="14" fontId="27" fillId="0" borderId="2" xfId="1" applyNumberFormat="1" applyFont="1" applyBorder="1" applyAlignment="1">
      <alignment horizontal="center" vertical="center"/>
    </xf>
    <xf numFmtId="0" fontId="10" fillId="0" borderId="2" xfId="1" applyNumberFormat="1" applyFont="1" applyBorder="1" applyAlignment="1">
      <alignment horizontal="center" vertical="center"/>
    </xf>
    <xf numFmtId="170" fontId="10" fillId="0" borderId="2" xfId="1" applyFont="1" applyBorder="1" applyAlignment="1">
      <alignment horizontal="center" vertical="center"/>
    </xf>
    <xf numFmtId="169" fontId="10" fillId="0" borderId="2" xfId="1" applyNumberFormat="1" applyFont="1" applyBorder="1" applyAlignment="1">
      <alignment horizontal="center" vertical="center"/>
    </xf>
    <xf numFmtId="170" fontId="27" fillId="0" borderId="9" xfId="1" applyFont="1" applyBorder="1" applyAlignment="1">
      <alignment horizontal="center" vertical="center"/>
    </xf>
    <xf numFmtId="0" fontId="27" fillId="0" borderId="4" xfId="1" applyNumberFormat="1" applyFont="1" applyBorder="1" applyAlignment="1">
      <alignment horizontal="center" vertical="center"/>
    </xf>
    <xf numFmtId="14" fontId="27" fillId="6" borderId="2" xfId="1" applyNumberFormat="1" applyFont="1" applyFill="1" applyBorder="1" applyAlignment="1">
      <alignment horizontal="center" vertical="center"/>
    </xf>
    <xf numFmtId="0" fontId="10" fillId="3" borderId="2" xfId="1" applyNumberFormat="1" applyFont="1" applyFill="1" applyBorder="1" applyAlignment="1">
      <alignment horizontal="center" vertical="center" wrapText="1"/>
    </xf>
    <xf numFmtId="170" fontId="22" fillId="0" borderId="2" xfId="1" applyFont="1" applyBorder="1" applyAlignment="1">
      <alignment horizontal="center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4" fontId="22" fillId="0" borderId="2" xfId="1" applyNumberFormat="1" applyFont="1" applyBorder="1" applyAlignment="1">
      <alignment horizontal="center" vertical="center" wrapText="1"/>
    </xf>
    <xf numFmtId="168" fontId="27" fillId="0" borderId="2" xfId="1" applyNumberFormat="1" applyFont="1" applyBorder="1" applyAlignment="1">
      <alignment horizontal="center" vertical="center"/>
    </xf>
    <xf numFmtId="168" fontId="10" fillId="0" borderId="2" xfId="1" applyNumberFormat="1" applyFont="1" applyBorder="1" applyAlignment="1">
      <alignment horizontal="center" vertical="center"/>
    </xf>
    <xf numFmtId="170" fontId="80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0" fontId="2" fillId="0" borderId="2" xfId="1" applyFont="1" applyBorder="1" applyAlignment="1">
      <alignment horizontal="center" vertical="center"/>
    </xf>
    <xf numFmtId="14" fontId="10" fillId="6" borderId="2" xfId="1" applyNumberFormat="1" applyFont="1" applyFill="1" applyBorder="1" applyAlignment="1">
      <alignment horizontal="left" vertical="center" wrapText="1"/>
    </xf>
    <xf numFmtId="0" fontId="81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1" fillId="0" borderId="2" xfId="1" applyNumberFormat="1" applyFont="1" applyBorder="1" applyAlignment="1">
      <alignment horizontal="center" vertical="center"/>
    </xf>
    <xf numFmtId="170" fontId="81" fillId="0" borderId="2" xfId="1" applyFont="1" applyBorder="1" applyAlignment="1">
      <alignment horizontal="center" vertical="center"/>
    </xf>
    <xf numFmtId="169" fontId="81" fillId="0" borderId="2" xfId="1" applyNumberFormat="1" applyFont="1" applyBorder="1" applyAlignment="1">
      <alignment horizontal="center" vertical="center"/>
    </xf>
    <xf numFmtId="170" fontId="2" fillId="0" borderId="9" xfId="1" applyFont="1" applyBorder="1" applyAlignment="1">
      <alignment horizontal="center" vertical="center"/>
    </xf>
    <xf numFmtId="170" fontId="22" fillId="0" borderId="8" xfId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 wrapText="1"/>
    </xf>
    <xf numFmtId="167" fontId="10" fillId="0" borderId="2" xfId="1" applyNumberFormat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/>
    </xf>
    <xf numFmtId="170" fontId="22" fillId="0" borderId="8" xfId="1" applyFont="1" applyBorder="1" applyAlignment="1">
      <alignment horizontal="left" vertical="center"/>
    </xf>
    <xf numFmtId="14" fontId="10" fillId="0" borderId="2" xfId="1" applyNumberFormat="1" applyFont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 wrapText="1"/>
    </xf>
    <xf numFmtId="167" fontId="10" fillId="8" borderId="2" xfId="1" applyNumberFormat="1" applyFont="1" applyFill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0" fillId="31" borderId="2" xfId="1" applyNumberFormat="1" applyFont="1" applyFill="1" applyBorder="1" applyAlignment="1">
      <alignment horizontal="left" vertical="center" wrapText="1"/>
    </xf>
    <xf numFmtId="167" fontId="10" fillId="31" borderId="2" xfId="1" applyNumberFormat="1" applyFont="1" applyFill="1" applyBorder="1" applyAlignment="1">
      <alignment horizontal="left" vertical="center" wrapText="1"/>
    </xf>
    <xf numFmtId="0" fontId="10" fillId="31" borderId="2" xfId="1" applyNumberFormat="1" applyFont="1" applyFill="1" applyBorder="1" applyAlignment="1">
      <alignment horizontal="left" vertical="center"/>
    </xf>
    <xf numFmtId="3" fontId="10" fillId="0" borderId="2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 wrapText="1"/>
    </xf>
    <xf numFmtId="167" fontId="10" fillId="0" borderId="1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/>
    </xf>
    <xf numFmtId="0" fontId="81" fillId="3" borderId="1" xfId="1" applyNumberFormat="1" applyFont="1" applyFill="1" applyBorder="1" applyAlignment="1">
      <alignment horizontal="center" vertical="center"/>
    </xf>
    <xf numFmtId="170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1" fillId="0" borderId="1" xfId="1" applyNumberFormat="1" applyFont="1" applyBorder="1" applyAlignment="1">
      <alignment horizontal="center" vertical="center"/>
    </xf>
    <xf numFmtId="170" fontId="81" fillId="0" borderId="1" xfId="1" applyFont="1" applyBorder="1" applyAlignment="1">
      <alignment horizontal="center" vertical="center"/>
    </xf>
    <xf numFmtId="169" fontId="81" fillId="0" borderId="1" xfId="1" applyNumberFormat="1" applyFont="1" applyBorder="1" applyAlignment="1">
      <alignment horizontal="center" vertical="center"/>
    </xf>
    <xf numFmtId="170" fontId="2" fillId="0" borderId="63" xfId="1" applyFont="1" applyBorder="1" applyAlignment="1">
      <alignment horizontal="center" vertical="center"/>
    </xf>
    <xf numFmtId="170" fontId="22" fillId="0" borderId="62" xfId="1" applyFont="1" applyBorder="1" applyAlignment="1">
      <alignment horizontal="left" vertical="center" wrapText="1"/>
    </xf>
    <xf numFmtId="170" fontId="22" fillId="0" borderId="62" xfId="1" applyFont="1" applyBorder="1" applyAlignment="1">
      <alignment horizontal="left" vertical="center"/>
    </xf>
    <xf numFmtId="170" fontId="22" fillId="0" borderId="31" xfId="1" applyFont="1" applyBorder="1" applyAlignment="1">
      <alignment horizontal="left" vertical="center" wrapText="1"/>
    </xf>
    <xf numFmtId="170" fontId="22" fillId="6" borderId="32" xfId="1" applyFont="1" applyFill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 wrapText="1"/>
    </xf>
    <xf numFmtId="167" fontId="10" fillId="0" borderId="33" xfId="1" applyNumberFormat="1" applyFont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/>
    </xf>
    <xf numFmtId="0" fontId="81" fillId="3" borderId="33" xfId="1" applyNumberFormat="1" applyFont="1" applyFill="1" applyBorder="1" applyAlignment="1">
      <alignment horizontal="center" vertical="center"/>
    </xf>
    <xf numFmtId="170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1" fillId="0" borderId="33" xfId="1" applyNumberFormat="1" applyFont="1" applyBorder="1" applyAlignment="1">
      <alignment horizontal="center" vertical="center"/>
    </xf>
    <xf numFmtId="170" fontId="81" fillId="0" borderId="33" xfId="1" applyFont="1" applyBorder="1" applyAlignment="1">
      <alignment horizontal="center" vertical="center"/>
    </xf>
    <xf numFmtId="169" fontId="81" fillId="0" borderId="33" xfId="1" applyNumberFormat="1" applyFont="1" applyBorder="1" applyAlignment="1">
      <alignment horizontal="center" vertical="center"/>
    </xf>
    <xf numFmtId="170" fontId="2" fillId="0" borderId="34" xfId="1" applyFont="1" applyBorder="1" applyAlignment="1">
      <alignment horizontal="center" vertical="center"/>
    </xf>
    <xf numFmtId="170" fontId="22" fillId="0" borderId="29" xfId="1" applyFont="1" applyBorder="1" applyAlignment="1">
      <alignment horizontal="left" vertical="center" wrapText="1"/>
    </xf>
    <xf numFmtId="170" fontId="22" fillId="6" borderId="17" xfId="1" applyFont="1" applyFill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left" vertical="center" wrapText="1"/>
    </xf>
    <xf numFmtId="167" fontId="10" fillId="0" borderId="3" xfId="1" applyNumberFormat="1" applyFont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center" vertical="center"/>
    </xf>
    <xf numFmtId="0" fontId="10" fillId="3" borderId="3" xfId="1" applyNumberFormat="1" applyFont="1" applyFill="1" applyBorder="1" applyAlignment="1">
      <alignment horizontal="center" vertical="center" wrapText="1"/>
    </xf>
    <xf numFmtId="170" fontId="22" fillId="0" borderId="3" xfId="1" applyFont="1" applyBorder="1" applyAlignment="1">
      <alignment horizontal="center" vertical="center" wrapText="1"/>
    </xf>
    <xf numFmtId="168" fontId="10" fillId="0" borderId="3" xfId="1" applyNumberFormat="1" applyFont="1" applyBorder="1" applyAlignment="1">
      <alignment horizontal="center" vertical="center"/>
    </xf>
    <xf numFmtId="170" fontId="80" fillId="0" borderId="3" xfId="1" applyFont="1" applyBorder="1" applyAlignment="1">
      <alignment horizontal="center" vertical="center"/>
    </xf>
    <xf numFmtId="170" fontId="80" fillId="0" borderId="30" xfId="1" applyFont="1" applyBorder="1" applyAlignment="1">
      <alignment horizontal="left" vertical="center"/>
    </xf>
    <xf numFmtId="170" fontId="80" fillId="0" borderId="9" xfId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center" vertical="center" wrapText="1"/>
    </xf>
    <xf numFmtId="0" fontId="10" fillId="0" borderId="2" xfId="1" applyNumberFormat="1" applyFont="1" applyBorder="1" applyAlignment="1">
      <alignment horizontal="center" vertical="center" wrapText="1"/>
    </xf>
    <xf numFmtId="170" fontId="10" fillId="0" borderId="2" xfId="1" applyFont="1" applyBorder="1" applyAlignment="1">
      <alignment horizontal="center" vertical="center" wrapText="1"/>
    </xf>
    <xf numFmtId="0" fontId="10" fillId="8" borderId="2" xfId="1" applyNumberFormat="1" applyFont="1" applyFill="1" applyBorder="1" applyAlignment="1">
      <alignment horizontal="center" vertical="center" wrapText="1"/>
    </xf>
    <xf numFmtId="170" fontId="23" fillId="0" borderId="8" xfId="1" applyFont="1" applyBorder="1" applyAlignment="1">
      <alignment horizontal="left" vertical="center"/>
    </xf>
    <xf numFmtId="0" fontId="79" fillId="0" borderId="2" xfId="1" applyNumberFormat="1" applyFont="1" applyBorder="1" applyAlignment="1">
      <alignment horizontal="left" vertical="center" wrapText="1"/>
    </xf>
    <xf numFmtId="0" fontId="18" fillId="0" borderId="2" xfId="1" applyNumberFormat="1" applyFont="1" applyBorder="1" applyAlignment="1">
      <alignment horizontal="center" vertical="center" wrapText="1"/>
    </xf>
    <xf numFmtId="167" fontId="79" fillId="0" borderId="2" xfId="1" applyNumberFormat="1" applyFont="1" applyBorder="1" applyAlignment="1">
      <alignment horizontal="left" vertical="center" wrapText="1"/>
    </xf>
    <xf numFmtId="0" fontId="79" fillId="0" borderId="2" xfId="1" applyNumberFormat="1" applyFont="1" applyBorder="1" applyAlignment="1">
      <alignment horizontal="center" vertical="center"/>
    </xf>
    <xf numFmtId="0" fontId="79" fillId="3" borderId="2" xfId="1" applyNumberFormat="1" applyFont="1" applyFill="1" applyBorder="1" applyAlignment="1">
      <alignment horizontal="center" vertical="center" wrapText="1"/>
    </xf>
    <xf numFmtId="170" fontId="23" fillId="0" borderId="2" xfId="1" applyFont="1" applyBorder="1" applyAlignment="1">
      <alignment horizontal="center" vertical="center" wrapText="1"/>
    </xf>
    <xf numFmtId="0" fontId="23" fillId="0" borderId="2" xfId="1" applyNumberFormat="1" applyFont="1" applyBorder="1" applyAlignment="1">
      <alignment horizontal="center" vertical="center" wrapText="1"/>
    </xf>
    <xf numFmtId="170" fontId="24" fillId="0" borderId="8" xfId="1" applyFont="1" applyBorder="1" applyAlignment="1">
      <alignment horizontal="left" vertical="center"/>
    </xf>
    <xf numFmtId="0" fontId="82" fillId="0" borderId="2" xfId="1" applyNumberFormat="1" applyFont="1" applyBorder="1" applyAlignment="1">
      <alignment horizontal="left" vertical="center" wrapText="1"/>
    </xf>
    <xf numFmtId="0" fontId="83" fillId="0" borderId="2" xfId="1" applyNumberFormat="1" applyFont="1" applyBorder="1" applyAlignment="1">
      <alignment horizontal="center" vertical="center" wrapText="1"/>
    </xf>
    <xf numFmtId="167" fontId="82" fillId="0" borderId="2" xfId="1" applyNumberFormat="1" applyFont="1" applyBorder="1" applyAlignment="1">
      <alignment horizontal="left" vertical="center" wrapText="1"/>
    </xf>
    <xf numFmtId="0" fontId="82" fillId="0" borderId="2" xfId="1" applyNumberFormat="1" applyFont="1" applyBorder="1" applyAlignment="1">
      <alignment horizontal="center" vertical="center"/>
    </xf>
    <xf numFmtId="0" fontId="82" fillId="3" borderId="2" xfId="1" applyNumberFormat="1" applyFont="1" applyFill="1" applyBorder="1" applyAlignment="1">
      <alignment horizontal="center" vertical="center" wrapText="1"/>
    </xf>
    <xf numFmtId="170" fontId="24" fillId="0" borderId="2" xfId="1" applyFont="1" applyBorder="1" applyAlignment="1">
      <alignment horizontal="center" vertical="center" wrapText="1"/>
    </xf>
    <xf numFmtId="0" fontId="24" fillId="0" borderId="2" xfId="1" applyNumberFormat="1" applyFont="1" applyBorder="1" applyAlignment="1">
      <alignment horizontal="center" vertical="center" wrapText="1"/>
    </xf>
    <xf numFmtId="170" fontId="23" fillId="0" borderId="10" xfId="1" applyFont="1" applyBorder="1" applyAlignment="1">
      <alignment horizontal="left" vertical="center"/>
    </xf>
    <xf numFmtId="170" fontId="79" fillId="0" borderId="11" xfId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left" vertical="center" wrapText="1"/>
    </xf>
    <xf numFmtId="0" fontId="18" fillId="0" borderId="11" xfId="1" applyNumberFormat="1" applyFont="1" applyBorder="1" applyAlignment="1">
      <alignment horizontal="center" vertical="center" wrapText="1"/>
    </xf>
    <xf numFmtId="167" fontId="79" fillId="0" borderId="11" xfId="1" applyNumberFormat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center" vertical="center"/>
    </xf>
    <xf numFmtId="0" fontId="79" fillId="3" borderId="11" xfId="1" applyNumberFormat="1" applyFont="1" applyFill="1" applyBorder="1" applyAlignment="1">
      <alignment horizontal="center" vertical="center" wrapText="1"/>
    </xf>
    <xf numFmtId="170" fontId="23" fillId="0" borderId="11" xfId="1" applyFont="1" applyBorder="1" applyAlignment="1">
      <alignment horizontal="center" vertical="center" wrapText="1"/>
    </xf>
    <xf numFmtId="0" fontId="23" fillId="0" borderId="11" xfId="1" applyNumberFormat="1" applyFont="1" applyBorder="1" applyAlignment="1">
      <alignment horizontal="center" vertical="center" wrapText="1"/>
    </xf>
    <xf numFmtId="0" fontId="80" fillId="0" borderId="11" xfId="1" applyNumberFormat="1" applyFont="1" applyBorder="1" applyAlignment="1">
      <alignment horizontal="center" vertical="center"/>
    </xf>
    <xf numFmtId="168" fontId="10" fillId="0" borderId="11" xfId="1" applyNumberFormat="1" applyFont="1" applyBorder="1" applyAlignment="1">
      <alignment horizontal="center" vertical="center"/>
    </xf>
    <xf numFmtId="169" fontId="10" fillId="0" borderId="11" xfId="1" applyNumberFormat="1" applyFont="1" applyBorder="1" applyAlignment="1">
      <alignment horizontal="center" vertical="center"/>
    </xf>
    <xf numFmtId="170" fontId="80" fillId="0" borderId="11" xfId="1" applyFont="1" applyBorder="1" applyAlignment="1">
      <alignment horizontal="center" vertical="center"/>
    </xf>
    <xf numFmtId="170" fontId="80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0" fontId="2" fillId="0" borderId="11" xfId="1" applyFont="1" applyBorder="1" applyAlignment="1">
      <alignment horizontal="center" vertical="center"/>
    </xf>
    <xf numFmtId="170" fontId="22" fillId="0" borderId="3" xfId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77" fillId="0" borderId="3" xfId="1" applyNumberFormat="1" applyFont="1" applyBorder="1" applyAlignment="1">
      <alignment horizontal="center" vertical="center"/>
    </xf>
    <xf numFmtId="0" fontId="22" fillId="0" borderId="3" xfId="1" applyNumberFormat="1" applyFont="1" applyBorder="1" applyAlignment="1">
      <alignment horizontal="center" vertical="center" wrapText="1"/>
    </xf>
    <xf numFmtId="14" fontId="22" fillId="0" borderId="3" xfId="1" applyNumberFormat="1" applyFont="1" applyBorder="1" applyAlignment="1">
      <alignment horizontal="center" vertical="center" wrapText="1"/>
    </xf>
    <xf numFmtId="0" fontId="78" fillId="0" borderId="3" xfId="1" applyNumberFormat="1" applyFont="1" applyBorder="1" applyAlignment="1">
      <alignment horizontal="center" vertical="center" wrapText="1"/>
    </xf>
    <xf numFmtId="168" fontId="27" fillId="0" borderId="3" xfId="1" applyNumberFormat="1" applyFont="1" applyBorder="1" applyAlignment="1">
      <alignment horizontal="center" vertical="center"/>
    </xf>
    <xf numFmtId="169" fontId="10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0" fontId="2" fillId="0" borderId="3" xfId="1" applyFont="1" applyBorder="1" applyAlignment="1">
      <alignment horizontal="center" vertical="center"/>
    </xf>
    <xf numFmtId="170" fontId="22" fillId="0" borderId="2" xfId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right" vertical="center" wrapText="1"/>
    </xf>
    <xf numFmtId="170" fontId="24" fillId="0" borderId="4" xfId="1" applyFont="1" applyBorder="1" applyAlignment="1">
      <alignment horizontal="left" vertical="center"/>
    </xf>
    <xf numFmtId="14" fontId="82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84" fillId="8" borderId="2" xfId="0" applyNumberFormat="1" applyFont="1" applyFill="1" applyBorder="1" applyAlignment="1">
      <alignment horizontal="left" vertical="center"/>
    </xf>
    <xf numFmtId="170" fontId="81" fillId="0" borderId="0" xfId="0" applyNumberFormat="1" applyFont="1" applyAlignment="1">
      <alignment horizontal="left" vertical="center"/>
    </xf>
    <xf numFmtId="0" fontId="8" fillId="4" borderId="2" xfId="0" applyFont="1" applyFill="1" applyBorder="1" applyAlignment="1">
      <alignment horizontal="left" vertical="center"/>
    </xf>
    <xf numFmtId="170" fontId="9" fillId="0" borderId="0" xfId="0" applyNumberFormat="1" applyFont="1" applyAlignment="1">
      <alignment horizontal="left" vertical="center"/>
    </xf>
    <xf numFmtId="0" fontId="8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87" fillId="0" borderId="2" xfId="1" applyNumberFormat="1" applyFont="1" applyBorder="1" applyAlignment="1">
      <alignment horizontal="left" vertical="center" wrapText="1"/>
    </xf>
    <xf numFmtId="170" fontId="89" fillId="0" borderId="9" xfId="1" applyFont="1" applyBorder="1" applyAlignment="1">
      <alignment horizontal="center" vertical="center"/>
    </xf>
    <xf numFmtId="170" fontId="92" fillId="0" borderId="2" xfId="1" applyFont="1" applyBorder="1" applyAlignment="1">
      <alignment horizontal="center" vertical="center" wrapText="1"/>
    </xf>
    <xf numFmtId="170" fontId="88" fillId="0" borderId="2" xfId="1" applyFont="1" applyBorder="1" applyAlignment="1">
      <alignment horizontal="center" vertical="center"/>
    </xf>
    <xf numFmtId="170" fontId="94" fillId="0" borderId="2" xfId="1" applyFont="1" applyBorder="1" applyAlignment="1">
      <alignment horizontal="center" vertical="center" wrapText="1"/>
    </xf>
    <xf numFmtId="170" fontId="93" fillId="0" borderId="2" xfId="1" applyFont="1" applyBorder="1" applyAlignment="1">
      <alignment horizontal="center" vertical="center" wrapText="1"/>
    </xf>
    <xf numFmtId="168" fontId="87" fillId="0" borderId="2" xfId="1" applyNumberFormat="1" applyFont="1" applyBorder="1" applyAlignment="1">
      <alignment horizontal="center" vertical="center" wrapText="1"/>
    </xf>
    <xf numFmtId="170" fontId="95" fillId="0" borderId="6" xfId="1" applyFont="1" applyBorder="1" applyAlignment="1">
      <alignment horizontal="center" vertical="center" wrapText="1"/>
    </xf>
    <xf numFmtId="0" fontId="95" fillId="0" borderId="6" xfId="1" applyNumberFormat="1" applyFont="1" applyBorder="1" applyAlignment="1">
      <alignment horizontal="center" vertical="center" wrapText="1"/>
    </xf>
    <xf numFmtId="0" fontId="96" fillId="0" borderId="6" xfId="1" applyNumberFormat="1" applyFont="1" applyBorder="1" applyAlignment="1">
      <alignment horizontal="center" vertical="center" wrapText="1"/>
    </xf>
    <xf numFmtId="170" fontId="97" fillId="0" borderId="0" xfId="0" applyNumberFormat="1" applyFont="1">
      <alignment vertical="center"/>
    </xf>
    <xf numFmtId="0" fontId="97" fillId="0" borderId="0" xfId="0" applyFont="1">
      <alignment vertical="center"/>
    </xf>
    <xf numFmtId="170" fontId="97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0" fontId="9" fillId="0" borderId="50" xfId="0" applyNumberFormat="1" applyFont="1" applyBorder="1" applyAlignment="1">
      <alignment horizontal="left" vertical="center"/>
    </xf>
    <xf numFmtId="170" fontId="22" fillId="0" borderId="4" xfId="1" applyFont="1" applyBorder="1" applyAlignment="1">
      <alignment horizontal="left" vertical="center" wrapText="1"/>
    </xf>
    <xf numFmtId="14" fontId="10" fillId="0" borderId="1" xfId="1" applyNumberFormat="1" applyFont="1" applyBorder="1" applyAlignment="1">
      <alignment horizontal="left" vertical="center" wrapText="1"/>
    </xf>
    <xf numFmtId="0" fontId="10" fillId="4" borderId="1" xfId="1" applyNumberFormat="1" applyFont="1" applyFill="1" applyBorder="1" applyAlignment="1">
      <alignment horizontal="left" vertical="center"/>
    </xf>
    <xf numFmtId="0" fontId="10" fillId="4" borderId="2" xfId="1" applyNumberFormat="1" applyFont="1" applyFill="1" applyBorder="1" applyAlignment="1">
      <alignment horizontal="center" vertical="center"/>
    </xf>
    <xf numFmtId="170" fontId="88" fillId="0" borderId="9" xfId="1" applyFont="1" applyBorder="1" applyAlignment="1">
      <alignment horizontal="center" vertical="center"/>
    </xf>
    <xf numFmtId="170" fontId="22" fillId="4" borderId="2" xfId="1" applyFont="1" applyFill="1" applyBorder="1" applyAlignment="1">
      <alignment horizontal="center" vertical="center" wrapText="1"/>
    </xf>
    <xf numFmtId="14" fontId="8" fillId="4" borderId="2" xfId="0" applyNumberFormat="1" applyFont="1" applyFill="1" applyBorder="1" applyAlignment="1">
      <alignment horizontal="left" vertical="center"/>
    </xf>
    <xf numFmtId="0" fontId="11" fillId="0" borderId="2" xfId="112" applyBorder="1" applyAlignment="1">
      <alignment horizontal="center"/>
    </xf>
    <xf numFmtId="168" fontId="10" fillId="4" borderId="2" xfId="1" applyNumberFormat="1" applyFont="1" applyFill="1" applyBorder="1" applyAlignment="1">
      <alignment horizontal="center" vertical="center"/>
    </xf>
    <xf numFmtId="0" fontId="22" fillId="4" borderId="2" xfId="1" applyNumberFormat="1" applyFont="1" applyFill="1" applyBorder="1" applyAlignment="1">
      <alignment horizontal="center" vertical="center" wrapText="1"/>
    </xf>
    <xf numFmtId="14" fontId="84" fillId="0" borderId="2" xfId="0" applyNumberFormat="1" applyFont="1" applyBorder="1" applyAlignment="1">
      <alignment horizontal="left" vertical="center"/>
    </xf>
    <xf numFmtId="170" fontId="22" fillId="14" borderId="62" xfId="1" applyFont="1" applyFill="1" applyBorder="1" applyAlignment="1">
      <alignment horizontal="left" vertical="center"/>
    </xf>
    <xf numFmtId="170" fontId="22" fillId="14" borderId="4" xfId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 wrapText="1"/>
    </xf>
    <xf numFmtId="167" fontId="10" fillId="14" borderId="1" xfId="1" applyNumberFormat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/>
    </xf>
    <xf numFmtId="170" fontId="94" fillId="14" borderId="2" xfId="1" applyFont="1" applyFill="1" applyBorder="1" applyAlignment="1">
      <alignment horizontal="center" vertical="center" wrapText="1"/>
    </xf>
    <xf numFmtId="170" fontId="22" fillId="14" borderId="2" xfId="1" applyFont="1" applyFill="1" applyBorder="1" applyAlignment="1">
      <alignment horizontal="center" vertical="center" wrapText="1"/>
    </xf>
    <xf numFmtId="14" fontId="8" fillId="14" borderId="2" xfId="0" applyNumberFormat="1" applyFont="1" applyFill="1" applyBorder="1" applyAlignment="1">
      <alignment horizontal="left" vertical="center"/>
    </xf>
    <xf numFmtId="0" fontId="22" fillId="14" borderId="2" xfId="1" applyNumberFormat="1" applyFont="1" applyFill="1" applyBorder="1" applyAlignment="1">
      <alignment horizontal="center" vertical="center" wrapText="1"/>
    </xf>
    <xf numFmtId="14" fontId="13" fillId="6" borderId="2" xfId="1" applyNumberFormat="1" applyFont="1" applyFill="1" applyBorder="1" applyAlignment="1">
      <alignment horizontal="center" vertical="center"/>
    </xf>
    <xf numFmtId="14" fontId="10" fillId="8" borderId="2" xfId="1" applyNumberFormat="1" applyFont="1" applyFill="1" applyBorder="1" applyAlignment="1">
      <alignment horizontal="left" vertical="center" wrapText="1"/>
    </xf>
    <xf numFmtId="14" fontId="10" fillId="31" borderId="2" xfId="1" applyNumberFormat="1" applyFont="1" applyFill="1" applyBorder="1" applyAlignment="1">
      <alignment horizontal="left" vertical="center" wrapText="1"/>
    </xf>
    <xf numFmtId="14" fontId="10" fillId="14" borderId="1" xfId="1" applyNumberFormat="1" applyFont="1" applyFill="1" applyBorder="1" applyAlignment="1">
      <alignment horizontal="left" vertical="center" wrapText="1"/>
    </xf>
    <xf numFmtId="14" fontId="10" fillId="0" borderId="33" xfId="1" applyNumberFormat="1" applyFont="1" applyBorder="1" applyAlignment="1">
      <alignment horizontal="left" vertical="center" wrapText="1"/>
    </xf>
    <xf numFmtId="14" fontId="10" fillId="0" borderId="3" xfId="1" applyNumberFormat="1" applyFont="1" applyBorder="1" applyAlignment="1">
      <alignment horizontal="left" vertical="center" wrapText="1"/>
    </xf>
    <xf numFmtId="14" fontId="79" fillId="0" borderId="2" xfId="1" applyNumberFormat="1" applyFont="1" applyBorder="1" applyAlignment="1">
      <alignment horizontal="left" vertical="center" wrapText="1"/>
    </xf>
    <xf numFmtId="14" fontId="79" fillId="0" borderId="11" xfId="1" applyNumberFormat="1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170" fontId="105" fillId="0" borderId="0" xfId="0" applyNumberFormat="1" applyFont="1" applyAlignment="1">
      <alignment vertical="center" wrapText="1"/>
    </xf>
    <xf numFmtId="172" fontId="0" fillId="0" borderId="0" xfId="0" applyNumberFormat="1">
      <alignment vertical="center"/>
    </xf>
    <xf numFmtId="0" fontId="86" fillId="0" borderId="1" xfId="1" applyNumberFormat="1" applyFont="1" applyBorder="1" applyAlignment="1">
      <alignment horizontal="left" vertical="center" wrapText="1"/>
    </xf>
    <xf numFmtId="170" fontId="125" fillId="0" borderId="0" xfId="0" applyNumberFormat="1" applyFont="1">
      <alignment vertical="center"/>
    </xf>
    <xf numFmtId="0" fontId="0" fillId="0" borderId="2" xfId="0" applyBorder="1">
      <alignment vertical="center"/>
    </xf>
    <xf numFmtId="170" fontId="8" fillId="0" borderId="2" xfId="2" applyFont="1" applyBorder="1" applyAlignment="1">
      <alignment horizontal="right"/>
    </xf>
    <xf numFmtId="0" fontId="126" fillId="0" borderId="2" xfId="0" applyFont="1" applyBorder="1">
      <alignment vertical="center"/>
    </xf>
    <xf numFmtId="166" fontId="8" fillId="0" borderId="2" xfId="3" applyFont="1" applyBorder="1" applyAlignment="1"/>
    <xf numFmtId="170" fontId="8" fillId="0" borderId="2" xfId="2" applyFont="1" applyBorder="1" applyAlignment="1"/>
    <xf numFmtId="170" fontId="8" fillId="0" borderId="20" xfId="2" applyFont="1" applyBorder="1" applyAlignment="1">
      <alignment horizontal="right"/>
    </xf>
    <xf numFmtId="166" fontId="8" fillId="0" borderId="20" xfId="3" applyFont="1" applyBorder="1" applyAlignment="1"/>
    <xf numFmtId="0" fontId="10" fillId="8" borderId="2" xfId="1" applyNumberFormat="1" applyFont="1" applyFill="1" applyBorder="1" applyAlignment="1">
      <alignment horizontal="center" vertical="center"/>
    </xf>
    <xf numFmtId="0" fontId="22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0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28" fillId="0" borderId="2" xfId="0" applyNumberFormat="1" applyFont="1" applyBorder="1" applyAlignment="1">
      <alignment horizontal="left" vertical="center"/>
    </xf>
    <xf numFmtId="0" fontId="92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68" fontId="87" fillId="0" borderId="2" xfId="1" applyNumberFormat="1" applyFont="1" applyBorder="1" applyAlignment="1">
      <alignment horizontal="center" vertical="center"/>
    </xf>
    <xf numFmtId="170" fontId="22" fillId="32" borderId="2" xfId="1" applyFont="1" applyFill="1" applyBorder="1" applyAlignment="1">
      <alignment horizontal="center" vertical="center" wrapText="1"/>
    </xf>
    <xf numFmtId="0" fontId="8" fillId="32" borderId="2" xfId="0" applyFont="1" applyFill="1" applyBorder="1" applyAlignment="1">
      <alignment horizontal="left" vertical="center"/>
    </xf>
    <xf numFmtId="14" fontId="84" fillId="32" borderId="2" xfId="0" applyNumberFormat="1" applyFont="1" applyFill="1" applyBorder="1" applyAlignment="1">
      <alignment horizontal="left" vertical="center"/>
    </xf>
    <xf numFmtId="0" fontId="22" fillId="32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6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99" fillId="0" borderId="0" xfId="0" applyFont="1">
      <alignment vertical="center"/>
    </xf>
    <xf numFmtId="0" fontId="79" fillId="8" borderId="2" xfId="1" applyNumberFormat="1" applyFont="1" applyFill="1" applyBorder="1" applyAlignment="1">
      <alignment horizontal="center" vertical="center"/>
    </xf>
    <xf numFmtId="0" fontId="82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0" fontId="0" fillId="0" borderId="2" xfId="0" applyNumberFormat="1" applyBorder="1">
      <alignment vertical="center"/>
    </xf>
    <xf numFmtId="170" fontId="22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0" fontId="4" fillId="2" borderId="2" xfId="0" applyNumberFormat="1" applyFont="1" applyFill="1" applyBorder="1" applyAlignment="1">
      <alignment horizontal="center" vertical="center"/>
    </xf>
    <xf numFmtId="0" fontId="98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8" fillId="31" borderId="2" xfId="0" applyFont="1" applyFill="1" applyBorder="1" applyAlignment="1">
      <alignment horizontal="center" vertical="center"/>
    </xf>
    <xf numFmtId="0" fontId="130" fillId="0" borderId="21" xfId="0" applyFont="1" applyBorder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170" fontId="2" fillId="0" borderId="2" xfId="0" applyNumberFormat="1" applyFont="1" applyBorder="1" applyAlignment="1">
      <alignment horizontal="left" vertical="center"/>
    </xf>
    <xf numFmtId="170" fontId="23" fillId="0" borderId="29" xfId="1" applyFont="1" applyBorder="1" applyAlignment="1">
      <alignment horizontal="left" vertical="center"/>
    </xf>
    <xf numFmtId="0" fontId="79" fillId="0" borderId="3" xfId="1" applyNumberFormat="1" applyFont="1" applyBorder="1" applyAlignment="1">
      <alignment horizontal="left" vertical="center" wrapText="1"/>
    </xf>
    <xf numFmtId="0" fontId="18" fillId="0" borderId="3" xfId="1" applyNumberFormat="1" applyFont="1" applyBorder="1" applyAlignment="1">
      <alignment horizontal="center" vertical="center" wrapText="1"/>
    </xf>
    <xf numFmtId="14" fontId="79" fillId="0" borderId="3" xfId="1" applyNumberFormat="1" applyFont="1" applyBorder="1" applyAlignment="1">
      <alignment horizontal="left" vertical="center" wrapText="1"/>
    </xf>
    <xf numFmtId="167" fontId="79" fillId="0" borderId="3" xfId="1" applyNumberFormat="1" applyFont="1" applyBorder="1" applyAlignment="1">
      <alignment horizontal="left" vertical="center" wrapText="1"/>
    </xf>
    <xf numFmtId="0" fontId="79" fillId="0" borderId="3" xfId="1" applyNumberFormat="1" applyFont="1" applyBorder="1" applyAlignment="1">
      <alignment horizontal="center" vertical="center"/>
    </xf>
    <xf numFmtId="0" fontId="79" fillId="3" borderId="3" xfId="1" applyNumberFormat="1" applyFont="1" applyFill="1" applyBorder="1" applyAlignment="1">
      <alignment horizontal="center" vertical="center" wrapText="1"/>
    </xf>
    <xf numFmtId="170" fontId="23" fillId="0" borderId="3" xfId="1" applyFont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center"/>
    </xf>
    <xf numFmtId="14" fontId="23" fillId="0" borderId="3" xfId="0" applyNumberFormat="1" applyFont="1" applyBorder="1" applyAlignment="1">
      <alignment horizontal="left" vertical="center"/>
    </xf>
    <xf numFmtId="0" fontId="23" fillId="0" borderId="3" xfId="1" applyNumberFormat="1" applyFont="1" applyBorder="1" applyAlignment="1">
      <alignment horizontal="center" vertical="center" wrapText="1"/>
    </xf>
    <xf numFmtId="0" fontId="80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0" fontId="23" fillId="0" borderId="2" xfId="1" applyFont="1" applyBorder="1" applyAlignment="1">
      <alignment horizontal="left" vertical="center"/>
    </xf>
    <xf numFmtId="170" fontId="22" fillId="6" borderId="19" xfId="1" applyFont="1" applyFill="1" applyBorder="1" applyAlignment="1">
      <alignment horizontal="left" vertical="center" wrapText="1"/>
    </xf>
    <xf numFmtId="170" fontId="0" fillId="0" borderId="11" xfId="0" applyNumberFormat="1" applyBorder="1">
      <alignment vertical="center"/>
    </xf>
    <xf numFmtId="170" fontId="22" fillId="6" borderId="2" xfId="1" applyFont="1" applyFill="1" applyBorder="1" applyAlignment="1">
      <alignment horizontal="left" vertical="center" wrapText="1"/>
    </xf>
    <xf numFmtId="170" fontId="91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34" fillId="0" borderId="0" xfId="162" applyFont="1"/>
    <xf numFmtId="0" fontId="2" fillId="0" borderId="0" xfId="0" quotePrefix="1" applyFont="1">
      <alignment vertical="center"/>
    </xf>
    <xf numFmtId="0" fontId="135" fillId="0" borderId="0" xfId="0" applyFont="1">
      <alignment vertical="center"/>
    </xf>
    <xf numFmtId="0" fontId="135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2" fillId="0" borderId="2" xfId="1" applyNumberFormat="1" applyFont="1" applyBorder="1" applyAlignment="1">
      <alignment horizontal="center" vertical="center"/>
    </xf>
    <xf numFmtId="0" fontId="94" fillId="0" borderId="2" xfId="1" applyNumberFormat="1" applyFont="1" applyBorder="1" applyAlignment="1">
      <alignment horizontal="center" vertical="center" wrapText="1"/>
    </xf>
    <xf numFmtId="0" fontId="72" fillId="0" borderId="2" xfId="1" applyNumberFormat="1" applyFont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14" fontId="10" fillId="8" borderId="1" xfId="1" applyNumberFormat="1" applyFont="1" applyFill="1" applyBorder="1" applyAlignment="1">
      <alignment horizontal="left" vertical="center" wrapText="1"/>
    </xf>
    <xf numFmtId="167" fontId="10" fillId="8" borderId="1" xfId="1" applyNumberFormat="1" applyFont="1" applyFill="1" applyBorder="1" applyAlignment="1">
      <alignment horizontal="left" vertical="center" wrapText="1"/>
    </xf>
    <xf numFmtId="0" fontId="10" fillId="8" borderId="1" xfId="1" applyNumberFormat="1" applyFont="1" applyFill="1" applyBorder="1" applyAlignment="1">
      <alignment horizontal="left" vertical="center"/>
    </xf>
    <xf numFmtId="0" fontId="27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73" fontId="0" fillId="0" borderId="2" xfId="3" applyNumberFormat="1" applyFont="1" applyBorder="1">
      <alignment vertical="center"/>
    </xf>
    <xf numFmtId="173" fontId="0" fillId="0" borderId="0" xfId="3" applyNumberFormat="1" applyFont="1">
      <alignment vertical="center"/>
    </xf>
    <xf numFmtId="0" fontId="136" fillId="43" borderId="2" xfId="0" applyFont="1" applyFill="1" applyBorder="1">
      <alignment vertical="center"/>
    </xf>
    <xf numFmtId="0" fontId="137" fillId="43" borderId="2" xfId="0" applyFont="1" applyFill="1" applyBorder="1">
      <alignment vertical="center"/>
    </xf>
    <xf numFmtId="173" fontId="126" fillId="0" borderId="0" xfId="3" applyNumberFormat="1" applyFont="1">
      <alignment vertical="center"/>
    </xf>
    <xf numFmtId="0" fontId="126" fillId="0" borderId="0" xfId="0" applyFont="1">
      <alignment vertical="center"/>
    </xf>
    <xf numFmtId="170" fontId="138" fillId="0" borderId="2" xfId="1" applyFont="1" applyBorder="1" applyAlignment="1">
      <alignment horizontal="center" vertical="center" wrapText="1"/>
    </xf>
    <xf numFmtId="170" fontId="22" fillId="0" borderId="2" xfId="1" applyFont="1" applyBorder="1" applyAlignment="1">
      <alignment horizontal="left" vertical="center" wrapText="1"/>
    </xf>
    <xf numFmtId="174" fontId="134" fillId="0" borderId="0" xfId="162" applyNumberFormat="1" applyFont="1"/>
    <xf numFmtId="0" fontId="10" fillId="3" borderId="1" xfId="1" applyNumberFormat="1" applyFont="1" applyFill="1" applyBorder="1" applyAlignment="1">
      <alignment horizontal="center" vertical="center" wrapText="1"/>
    </xf>
    <xf numFmtId="0" fontId="94" fillId="0" borderId="1" xfId="1" applyNumberFormat="1" applyFont="1" applyBorder="1" applyAlignment="1">
      <alignment horizontal="center" vertical="center" wrapText="1"/>
    </xf>
    <xf numFmtId="170" fontId="22" fillId="0" borderId="1" xfId="1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left" vertical="center"/>
    </xf>
    <xf numFmtId="0" fontId="22" fillId="0" borderId="1" xfId="1" applyNumberFormat="1" applyFont="1" applyBorder="1" applyAlignment="1">
      <alignment horizontal="center" vertical="center" wrapText="1"/>
    </xf>
    <xf numFmtId="0" fontId="10" fillId="0" borderId="1" xfId="1" applyNumberFormat="1" applyFont="1" applyBorder="1" applyAlignment="1">
      <alignment horizontal="center" vertical="center"/>
    </xf>
    <xf numFmtId="168" fontId="10" fillId="0" borderId="1" xfId="1" applyNumberFormat="1" applyFont="1" applyBorder="1" applyAlignment="1">
      <alignment horizontal="center" vertical="center"/>
    </xf>
    <xf numFmtId="169" fontId="10" fillId="0" borderId="1" xfId="1" applyNumberFormat="1" applyFont="1" applyBorder="1" applyAlignment="1">
      <alignment horizontal="center" vertical="center"/>
    </xf>
    <xf numFmtId="170" fontId="80" fillId="0" borderId="1" xfId="1" applyFont="1" applyBorder="1" applyAlignment="1">
      <alignment horizontal="center" vertical="center"/>
    </xf>
    <xf numFmtId="170" fontId="80" fillId="0" borderId="63" xfId="1" applyFont="1" applyBorder="1" applyAlignment="1">
      <alignment horizontal="center" vertical="center"/>
    </xf>
    <xf numFmtId="170" fontId="139" fillId="2" borderId="0" xfId="0" applyNumberFormat="1" applyFont="1" applyFill="1">
      <alignment vertical="center"/>
    </xf>
    <xf numFmtId="170" fontId="140" fillId="0" borderId="0" xfId="0" applyNumberFormat="1" applyFont="1">
      <alignment vertical="center"/>
    </xf>
    <xf numFmtId="170" fontId="140" fillId="0" borderId="0" xfId="0" quotePrefix="1" applyNumberFormat="1" applyFont="1">
      <alignment vertical="center"/>
    </xf>
    <xf numFmtId="170" fontId="130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70" fontId="2" fillId="4" borderId="2" xfId="0" applyNumberFormat="1" applyFont="1" applyFill="1" applyBorder="1">
      <alignment vertical="center"/>
    </xf>
    <xf numFmtId="170" fontId="80" fillId="0" borderId="51" xfId="1" applyFont="1" applyBorder="1" applyAlignment="1">
      <alignment horizontal="center" vertical="center"/>
    </xf>
    <xf numFmtId="170" fontId="23" fillId="9" borderId="2" xfId="1" applyFont="1" applyFill="1" applyBorder="1" applyAlignment="1">
      <alignment horizontal="center" vertical="center" wrapText="1"/>
    </xf>
    <xf numFmtId="170" fontId="23" fillId="32" borderId="2" xfId="1" applyFont="1" applyFill="1" applyBorder="1" applyAlignment="1">
      <alignment horizontal="center" vertical="center" wrapText="1"/>
    </xf>
    <xf numFmtId="0" fontId="23" fillId="32" borderId="2" xfId="0" applyFont="1" applyFill="1" applyBorder="1" applyAlignment="1">
      <alignment horizontal="left" vertical="center"/>
    </xf>
    <xf numFmtId="0" fontId="75" fillId="2" borderId="28" xfId="1" applyNumberFormat="1" applyFont="1" applyFill="1" applyBorder="1" applyAlignment="1">
      <alignment horizontal="left" vertical="center" wrapText="1"/>
    </xf>
    <xf numFmtId="0" fontId="22" fillId="6" borderId="4" xfId="1" applyNumberFormat="1" applyFont="1" applyFill="1" applyBorder="1" applyAlignment="1">
      <alignment horizontal="left" vertical="center" wrapText="1"/>
    </xf>
    <xf numFmtId="0" fontId="22" fillId="6" borderId="32" xfId="1" applyNumberFormat="1" applyFont="1" applyFill="1" applyBorder="1" applyAlignment="1">
      <alignment horizontal="left" vertical="center" wrapText="1"/>
    </xf>
    <xf numFmtId="0" fontId="22" fillId="6" borderId="17" xfId="1" applyNumberFormat="1" applyFont="1" applyFill="1" applyBorder="1" applyAlignment="1">
      <alignment horizontal="left" vertical="center" wrapText="1"/>
    </xf>
    <xf numFmtId="0" fontId="22" fillId="6" borderId="19" xfId="1" applyNumberFormat="1" applyFont="1" applyFill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left" vertical="center"/>
    </xf>
    <xf numFmtId="0" fontId="22" fillId="0" borderId="17" xfId="1" applyNumberFormat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left" vertical="center"/>
    </xf>
    <xf numFmtId="0" fontId="24" fillId="0" borderId="4" xfId="1" applyNumberFormat="1" applyFont="1" applyBorder="1" applyAlignment="1">
      <alignment horizontal="left" vertical="center"/>
    </xf>
    <xf numFmtId="170" fontId="129" fillId="2" borderId="0" xfId="0" applyNumberFormat="1" applyFont="1" applyFill="1">
      <alignment vertical="center"/>
    </xf>
    <xf numFmtId="170" fontId="99" fillId="0" borderId="0" xfId="0" applyNumberFormat="1" applyFont="1">
      <alignment vertical="center"/>
    </xf>
    <xf numFmtId="0" fontId="143" fillId="3" borderId="6" xfId="1" applyNumberFormat="1" applyFont="1" applyFill="1" applyBorder="1" applyAlignment="1">
      <alignment horizontal="center" vertical="center" wrapText="1"/>
    </xf>
    <xf numFmtId="0" fontId="22" fillId="0" borderId="14" xfId="1" applyNumberFormat="1" applyFont="1" applyBorder="1" applyAlignment="1">
      <alignment horizontal="left" vertical="center"/>
    </xf>
    <xf numFmtId="0" fontId="22" fillId="0" borderId="32" xfId="1" applyNumberFormat="1" applyFont="1" applyBorder="1" applyAlignment="1">
      <alignment horizontal="left" vertical="center" wrapText="1"/>
    </xf>
    <xf numFmtId="0" fontId="22" fillId="0" borderId="4" xfId="1" applyNumberFormat="1" applyFont="1" applyBorder="1" applyAlignment="1">
      <alignment horizontal="left" vertical="center"/>
    </xf>
    <xf numFmtId="0" fontId="142" fillId="2" borderId="2" xfId="1" applyNumberFormat="1" applyFont="1" applyFill="1" applyBorder="1" applyAlignment="1">
      <alignment horizontal="left" vertical="center" wrapText="1"/>
    </xf>
    <xf numFmtId="0" fontId="27" fillId="0" borderId="2" xfId="0" applyFont="1" applyBorder="1" applyAlignment="1">
      <alignment horizontal="right" vertical="center"/>
    </xf>
    <xf numFmtId="0" fontId="24" fillId="0" borderId="17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 wrapText="1"/>
    </xf>
    <xf numFmtId="14" fontId="82" fillId="0" borderId="3" xfId="1" applyNumberFormat="1" applyFont="1" applyBorder="1" applyAlignment="1">
      <alignment horizontal="left" vertical="center" wrapText="1"/>
    </xf>
    <xf numFmtId="0" fontId="82" fillId="0" borderId="3" xfId="1" applyNumberFormat="1" applyFont="1" applyBorder="1" applyAlignment="1">
      <alignment horizontal="center" vertical="center"/>
    </xf>
    <xf numFmtId="0" fontId="82" fillId="3" borderId="3" xfId="1" applyNumberFormat="1" applyFont="1" applyFill="1" applyBorder="1" applyAlignment="1">
      <alignment horizontal="center" vertical="center" wrapText="1"/>
    </xf>
    <xf numFmtId="0" fontId="24" fillId="0" borderId="3" xfId="1" applyNumberFormat="1" applyFont="1" applyBorder="1" applyAlignment="1">
      <alignment horizontal="center" vertical="center" wrapText="1"/>
    </xf>
    <xf numFmtId="170" fontId="24" fillId="0" borderId="3" xfId="1" applyFont="1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/>
    </xf>
    <xf numFmtId="14" fontId="24" fillId="0" borderId="3" xfId="0" applyNumberFormat="1" applyFont="1" applyBorder="1" applyAlignment="1">
      <alignment horizontal="left" vertical="center"/>
    </xf>
    <xf numFmtId="170" fontId="80" fillId="0" borderId="15" xfId="1" applyFont="1" applyBorder="1" applyAlignment="1">
      <alignment horizontal="center" vertical="center"/>
    </xf>
    <xf numFmtId="0" fontId="24" fillId="0" borderId="19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 wrapText="1"/>
    </xf>
    <xf numFmtId="14" fontId="82" fillId="0" borderId="11" xfId="1" applyNumberFormat="1" applyFont="1" applyBorder="1" applyAlignment="1">
      <alignment horizontal="left" vertical="center" wrapText="1"/>
    </xf>
    <xf numFmtId="0" fontId="82" fillId="0" borderId="11" xfId="1" applyNumberFormat="1" applyFont="1" applyBorder="1" applyAlignment="1">
      <alignment horizontal="center" vertical="center"/>
    </xf>
    <xf numFmtId="0" fontId="82" fillId="3" borderId="11" xfId="1" applyNumberFormat="1" applyFont="1" applyFill="1" applyBorder="1" applyAlignment="1">
      <alignment horizontal="center" vertical="center" wrapText="1"/>
    </xf>
    <xf numFmtId="0" fontId="10" fillId="0" borderId="11" xfId="1" applyNumberFormat="1" applyFont="1" applyBorder="1" applyAlignment="1">
      <alignment horizontal="center" vertical="center"/>
    </xf>
    <xf numFmtId="0" fontId="24" fillId="0" borderId="11" xfId="1" applyNumberFormat="1" applyFont="1" applyBorder="1" applyAlignment="1">
      <alignment horizontal="center" vertical="center" wrapText="1"/>
    </xf>
    <xf numFmtId="170" fontId="24" fillId="0" borderId="11" xfId="1" applyFont="1" applyBorder="1" applyAlignment="1">
      <alignment horizontal="center" vertical="center" wrapText="1"/>
    </xf>
    <xf numFmtId="0" fontId="24" fillId="0" borderId="11" xfId="0" applyFont="1" applyBorder="1" applyAlignment="1">
      <alignment horizontal="left" vertical="center"/>
    </xf>
    <xf numFmtId="14" fontId="24" fillId="0" borderId="11" xfId="0" applyNumberFormat="1" applyFont="1" applyBorder="1" applyAlignment="1">
      <alignment horizontal="left" vertical="center"/>
    </xf>
    <xf numFmtId="0" fontId="98" fillId="2" borderId="2" xfId="0" applyFont="1" applyFill="1" applyBorder="1" applyAlignment="1">
      <alignment vertical="center" wrapText="1"/>
    </xf>
    <xf numFmtId="0" fontId="146" fillId="2" borderId="2" xfId="0" applyFont="1" applyFill="1" applyBorder="1" applyAlignment="1">
      <alignment vertical="center" wrapText="1"/>
    </xf>
    <xf numFmtId="170" fontId="2" fillId="0" borderId="0" xfId="0" applyNumberFormat="1" applyFont="1" applyAlignment="1">
      <alignment vertical="center" wrapText="1"/>
    </xf>
    <xf numFmtId="0" fontId="30" fillId="0" borderId="1" xfId="0" applyFont="1" applyBorder="1" applyAlignment="1">
      <alignment horizontal="right" vertical="center" wrapText="1"/>
    </xf>
    <xf numFmtId="0" fontId="98" fillId="2" borderId="2" xfId="0" applyFont="1" applyFill="1" applyBorder="1" applyAlignment="1">
      <alignment horizontal="right" vertical="center" wrapText="1"/>
    </xf>
    <xf numFmtId="0" fontId="146" fillId="2" borderId="2" xfId="0" applyFont="1" applyFill="1" applyBorder="1" applyAlignment="1">
      <alignment horizontal="right" vertical="center" wrapText="1"/>
    </xf>
    <xf numFmtId="0" fontId="17" fillId="9" borderId="27" xfId="0" applyFont="1" applyFill="1" applyBorder="1" applyAlignment="1">
      <alignment horizontal="right" vertical="center"/>
    </xf>
    <xf numFmtId="0" fontId="145" fillId="2" borderId="69" xfId="0" applyFont="1" applyFill="1" applyBorder="1" applyAlignment="1">
      <alignment vertical="center" wrapText="1"/>
    </xf>
    <xf numFmtId="0" fontId="145" fillId="2" borderId="4" xfId="0" applyFont="1" applyFill="1" applyBorder="1" applyAlignment="1">
      <alignment vertical="center" wrapText="1"/>
    </xf>
    <xf numFmtId="0" fontId="32" fillId="0" borderId="2" xfId="0" applyFont="1" applyBorder="1" applyAlignment="1">
      <alignment horizontal="right" vertical="center"/>
    </xf>
    <xf numFmtId="0" fontId="146" fillId="2" borderId="2" xfId="0" applyFont="1" applyFill="1" applyBorder="1">
      <alignment vertical="center"/>
    </xf>
    <xf numFmtId="0" fontId="98" fillId="2" borderId="2" xfId="0" applyFont="1" applyFill="1" applyBorder="1">
      <alignment vertical="center"/>
    </xf>
    <xf numFmtId="0" fontId="149" fillId="2" borderId="2" xfId="1" applyNumberFormat="1" applyFont="1" applyFill="1" applyBorder="1" applyAlignment="1">
      <alignment horizontal="left" vertical="center" wrapText="1"/>
    </xf>
    <xf numFmtId="170" fontId="8" fillId="0" borderId="2" xfId="1" applyFont="1" applyBorder="1" applyAlignment="1">
      <alignment horizontal="center" vertical="center"/>
    </xf>
    <xf numFmtId="170" fontId="8" fillId="0" borderId="11" xfId="1" applyFont="1" applyBorder="1" applyAlignment="1">
      <alignment horizontal="center" vertical="center"/>
    </xf>
    <xf numFmtId="170" fontId="8" fillId="0" borderId="3" xfId="1" applyFont="1" applyBorder="1" applyAlignment="1">
      <alignment horizontal="center" vertical="center"/>
    </xf>
    <xf numFmtId="0" fontId="82" fillId="0" borderId="2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/>
    </xf>
    <xf numFmtId="0" fontId="77" fillId="0" borderId="3" xfId="1" applyNumberFormat="1" applyFont="1" applyBorder="1" applyAlignment="1">
      <alignment horizontal="left" vertical="center"/>
    </xf>
    <xf numFmtId="0" fontId="17" fillId="44" borderId="27" xfId="0" applyFont="1" applyFill="1" applyBorder="1" applyAlignment="1">
      <alignment horizontal="right" vertical="center" wrapText="1"/>
    </xf>
    <xf numFmtId="0" fontId="26" fillId="44" borderId="27" xfId="0" applyFont="1" applyFill="1" applyBorder="1" applyAlignment="1">
      <alignment horizontal="right" vertical="center"/>
    </xf>
    <xf numFmtId="0" fontId="33" fillId="13" borderId="2" xfId="0" applyFont="1" applyFill="1" applyBorder="1" applyAlignment="1">
      <alignment vertical="center" wrapText="1"/>
    </xf>
    <xf numFmtId="173" fontId="17" fillId="8" borderId="2" xfId="3" applyNumberFormat="1" applyFont="1" applyFill="1" applyBorder="1" applyAlignment="1">
      <alignment horizontal="right" vertical="center"/>
    </xf>
    <xf numFmtId="173" fontId="2" fillId="9" borderId="2" xfId="3" applyNumberFormat="1" applyFont="1" applyFill="1" applyBorder="1" applyAlignment="1">
      <alignment horizontal="right" vertical="center"/>
    </xf>
    <xf numFmtId="173" fontId="2" fillId="42" borderId="2" xfId="3" applyNumberFormat="1" applyFont="1" applyFill="1" applyBorder="1" applyAlignment="1">
      <alignment horizontal="right" vertical="center"/>
    </xf>
    <xf numFmtId="173" fontId="2" fillId="32" borderId="2" xfId="3" applyNumberFormat="1" applyFont="1" applyFill="1" applyBorder="1" applyAlignment="1">
      <alignment horizontal="right" vertical="center"/>
    </xf>
    <xf numFmtId="173" fontId="2" fillId="31" borderId="2" xfId="3" applyNumberFormat="1" applyFont="1" applyFill="1" applyBorder="1" applyAlignment="1">
      <alignment horizontal="right" vertical="center"/>
    </xf>
    <xf numFmtId="173" fontId="17" fillId="4" borderId="2" xfId="3" applyNumberFormat="1" applyFont="1" applyFill="1" applyBorder="1" applyAlignment="1">
      <alignment horizontal="right" vertical="center"/>
    </xf>
    <xf numFmtId="173" fontId="2" fillId="9" borderId="2" xfId="3" applyNumberFormat="1" applyFont="1" applyFill="1" applyBorder="1">
      <alignment vertical="center"/>
    </xf>
    <xf numFmtId="173" fontId="2" fillId="12" borderId="2" xfId="3" applyNumberFormat="1" applyFont="1" applyFill="1" applyBorder="1">
      <alignment vertical="center"/>
    </xf>
    <xf numFmtId="173" fontId="27" fillId="12" borderId="2" xfId="3" applyNumberFormat="1" applyFont="1" applyFill="1" applyBorder="1">
      <alignment vertical="center"/>
    </xf>
    <xf numFmtId="173" fontId="27" fillId="11" borderId="2" xfId="3" applyNumberFormat="1" applyFont="1" applyFill="1" applyBorder="1">
      <alignment vertical="center"/>
    </xf>
    <xf numFmtId="173" fontId="35" fillId="9" borderId="2" xfId="3" applyNumberFormat="1" applyFont="1" applyFill="1" applyBorder="1">
      <alignment vertical="center"/>
    </xf>
    <xf numFmtId="173" fontId="27" fillId="9" borderId="2" xfId="3" applyNumberFormat="1" applyFont="1" applyFill="1" applyBorder="1">
      <alignment vertical="center"/>
    </xf>
    <xf numFmtId="173" fontId="2" fillId="8" borderId="2" xfId="3" applyNumberFormat="1" applyFont="1" applyFill="1" applyBorder="1" applyAlignment="1">
      <alignment horizontal="center" vertical="center"/>
    </xf>
    <xf numFmtId="173" fontId="2" fillId="4" borderId="2" xfId="3" applyNumberFormat="1" applyFont="1" applyFill="1" applyBorder="1" applyAlignment="1">
      <alignment horizontal="center" vertical="center"/>
    </xf>
    <xf numFmtId="173" fontId="2" fillId="3" borderId="2" xfId="3" applyNumberFormat="1" applyFont="1" applyFill="1" applyBorder="1" applyAlignment="1">
      <alignment horizontal="center" vertical="center"/>
    </xf>
    <xf numFmtId="173" fontId="27" fillId="42" borderId="2" xfId="3" applyNumberFormat="1" applyFont="1" applyFill="1" applyBorder="1" applyAlignment="1">
      <alignment horizontal="center" vertical="center"/>
    </xf>
    <xf numFmtId="173" fontId="2" fillId="9" borderId="2" xfId="3" applyNumberFormat="1" applyFont="1" applyFill="1" applyBorder="1" applyAlignment="1">
      <alignment horizontal="center" vertical="center"/>
    </xf>
    <xf numFmtId="173" fontId="2" fillId="42" borderId="2" xfId="3" applyNumberFormat="1" applyFont="1" applyFill="1" applyBorder="1" applyAlignment="1">
      <alignment horizontal="center" vertical="center"/>
    </xf>
    <xf numFmtId="173" fontId="17" fillId="9" borderId="27" xfId="0" applyNumberFormat="1" applyFont="1" applyFill="1" applyBorder="1" applyAlignment="1">
      <alignment horizontal="right" vertical="center"/>
    </xf>
    <xf numFmtId="173" fontId="26" fillId="44" borderId="27" xfId="0" applyNumberFormat="1" applyFont="1" applyFill="1" applyBorder="1" applyAlignment="1">
      <alignment horizontal="right" vertical="center"/>
    </xf>
    <xf numFmtId="0" fontId="132" fillId="2" borderId="2" xfId="0" applyFont="1" applyFill="1" applyBorder="1" applyAlignment="1">
      <alignment horizontal="center" vertical="center" wrapText="1"/>
    </xf>
    <xf numFmtId="173" fontId="29" fillId="31" borderId="2" xfId="3" applyNumberFormat="1" applyFont="1" applyFill="1" applyBorder="1" applyAlignment="1">
      <alignment horizontal="center" vertical="center"/>
    </xf>
    <xf numFmtId="0" fontId="29" fillId="31" borderId="2" xfId="0" applyFont="1" applyFill="1" applyBorder="1" applyAlignment="1">
      <alignment horizontal="center" vertical="center"/>
    </xf>
    <xf numFmtId="0" fontId="98" fillId="2" borderId="51" xfId="0" applyFont="1" applyFill="1" applyBorder="1" applyAlignment="1">
      <alignment horizontal="right" vertical="center" wrapText="1"/>
    </xf>
    <xf numFmtId="173" fontId="2" fillId="31" borderId="51" xfId="3" applyNumberFormat="1" applyFont="1" applyFill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0" fontId="2" fillId="0" borderId="75" xfId="0" applyFont="1" applyBorder="1" applyAlignment="1">
      <alignment horizontal="right" vertical="center"/>
    </xf>
    <xf numFmtId="0" fontId="2" fillId="0" borderId="76" xfId="0" applyFont="1" applyBorder="1" applyAlignment="1">
      <alignment horizontal="right" vertical="center"/>
    </xf>
    <xf numFmtId="0" fontId="145" fillId="0" borderId="14" xfId="0" applyFont="1" applyBorder="1" applyAlignment="1">
      <alignment vertical="center" wrapText="1"/>
    </xf>
    <xf numFmtId="0" fontId="33" fillId="2" borderId="70" xfId="0" applyFont="1" applyFill="1" applyBorder="1" applyAlignment="1">
      <alignment horizontal="right" vertical="center" wrapText="1"/>
    </xf>
    <xf numFmtId="0" fontId="33" fillId="2" borderId="71" xfId="0" applyFont="1" applyFill="1" applyBorder="1" applyAlignment="1">
      <alignment horizontal="right" vertical="center" wrapText="1"/>
    </xf>
    <xf numFmtId="0" fontId="98" fillId="2" borderId="71" xfId="0" applyFont="1" applyFill="1" applyBorder="1" applyAlignment="1">
      <alignment horizontal="right" vertical="center" wrapText="1"/>
    </xf>
    <xf numFmtId="0" fontId="33" fillId="2" borderId="72" xfId="0" applyFont="1" applyFill="1" applyBorder="1" applyAlignment="1">
      <alignment horizontal="right" vertical="center" wrapText="1"/>
    </xf>
    <xf numFmtId="173" fontId="17" fillId="44" borderId="76" xfId="0" applyNumberFormat="1" applyFont="1" applyFill="1" applyBorder="1" applyAlignment="1">
      <alignment horizontal="right" vertical="center"/>
    </xf>
    <xf numFmtId="0" fontId="17" fillId="0" borderId="76" xfId="0" applyFont="1" applyBorder="1" applyAlignment="1">
      <alignment horizontal="right" vertical="center"/>
    </xf>
    <xf numFmtId="0" fontId="17" fillId="0" borderId="77" xfId="0" applyFont="1" applyBorder="1" applyAlignment="1">
      <alignment horizontal="right" vertical="center"/>
    </xf>
    <xf numFmtId="173" fontId="27" fillId="3" borderId="2" xfId="0" applyNumberFormat="1" applyFont="1" applyFill="1" applyBorder="1" applyAlignment="1">
      <alignment horizontal="right" vertical="center"/>
    </xf>
    <xf numFmtId="0" fontId="29" fillId="3" borderId="75" xfId="0" applyFont="1" applyFill="1" applyBorder="1" applyAlignment="1">
      <alignment horizontal="right" vertical="center"/>
    </xf>
    <xf numFmtId="0" fontId="29" fillId="3" borderId="76" xfId="0" applyFont="1" applyFill="1" applyBorder="1" applyAlignment="1">
      <alignment horizontal="right" vertical="center"/>
    </xf>
    <xf numFmtId="173" fontId="29" fillId="3" borderId="78" xfId="0" applyNumberFormat="1" applyFont="1" applyFill="1" applyBorder="1" applyAlignment="1">
      <alignment horizontal="right" vertical="center"/>
    </xf>
    <xf numFmtId="173" fontId="27" fillId="46" borderId="2" xfId="0" applyNumberFormat="1" applyFont="1" applyFill="1" applyBorder="1" applyAlignment="1">
      <alignment horizontal="right" vertical="center"/>
    </xf>
    <xf numFmtId="173" fontId="27" fillId="45" borderId="2" xfId="0" applyNumberFormat="1" applyFont="1" applyFill="1" applyBorder="1" applyAlignment="1">
      <alignment horizontal="right" vertical="center"/>
    </xf>
    <xf numFmtId="173" fontId="27" fillId="45" borderId="3" xfId="0" applyNumberFormat="1" applyFont="1" applyFill="1" applyBorder="1" applyAlignment="1">
      <alignment horizontal="right" vertical="center"/>
    </xf>
    <xf numFmtId="0" fontId="145" fillId="2" borderId="73" xfId="0" applyFont="1" applyFill="1" applyBorder="1" applyAlignment="1">
      <alignment horizontal="right" vertical="center"/>
    </xf>
    <xf numFmtId="0" fontId="4" fillId="2" borderId="73" xfId="0" applyFont="1" applyFill="1" applyBorder="1" applyAlignment="1">
      <alignment horizontal="right" vertical="center"/>
    </xf>
    <xf numFmtId="0" fontId="145" fillId="0" borderId="69" xfId="0" applyFont="1" applyBorder="1" applyAlignment="1">
      <alignment vertical="center" wrapText="1"/>
    </xf>
    <xf numFmtId="0" fontId="145" fillId="0" borderId="4" xfId="0" applyFont="1" applyBorder="1" applyAlignment="1">
      <alignment vertical="center" wrapText="1"/>
    </xf>
    <xf numFmtId="173" fontId="27" fillId="46" borderId="74" xfId="0" applyNumberFormat="1" applyFont="1" applyFill="1" applyBorder="1" applyAlignment="1">
      <alignment horizontal="right" vertical="center"/>
    </xf>
    <xf numFmtId="173" fontId="29" fillId="46" borderId="79" xfId="0" applyNumberFormat="1" applyFont="1" applyFill="1" applyBorder="1" applyAlignment="1">
      <alignment horizontal="right" vertical="center"/>
    </xf>
    <xf numFmtId="173" fontId="17" fillId="0" borderId="76" xfId="0" applyNumberFormat="1" applyFont="1" applyBorder="1" applyAlignment="1">
      <alignment horizontal="right" vertical="center"/>
    </xf>
    <xf numFmtId="173" fontId="29" fillId="46" borderId="78" xfId="0" applyNumberFormat="1" applyFont="1" applyFill="1" applyBorder="1" applyAlignment="1">
      <alignment horizontal="right" vertical="center"/>
    </xf>
    <xf numFmtId="0" fontId="152" fillId="0" borderId="1" xfId="0" applyFont="1" applyBorder="1" applyAlignment="1">
      <alignment horizontal="right" vertical="center" wrapText="1"/>
    </xf>
    <xf numFmtId="14" fontId="86" fillId="0" borderId="2" xfId="1" applyNumberFormat="1" applyFont="1" applyBorder="1" applyAlignment="1">
      <alignment horizontal="left" vertical="center" wrapText="1"/>
    </xf>
    <xf numFmtId="0" fontId="8" fillId="0" borderId="1" xfId="1" applyNumberFormat="1" applyFont="1" applyBorder="1" applyAlignment="1">
      <alignment horizontal="center" vertical="center"/>
    </xf>
    <xf numFmtId="170" fontId="8" fillId="0" borderId="1" xfId="1" applyFont="1" applyBorder="1" applyAlignment="1">
      <alignment horizontal="center" vertical="center"/>
    </xf>
    <xf numFmtId="170" fontId="89" fillId="0" borderId="2" xfId="1" applyFont="1" applyBorder="1" applyAlignment="1">
      <alignment horizontal="center" vertical="center"/>
    </xf>
    <xf numFmtId="0" fontId="86" fillId="0" borderId="2" xfId="1" applyNumberFormat="1" applyFont="1" applyBorder="1" applyAlignment="1">
      <alignment horizontal="left" vertical="center" wrapText="1"/>
    </xf>
    <xf numFmtId="173" fontId="17" fillId="8" borderId="2" xfId="3" applyNumberFormat="1" applyFont="1" applyFill="1" applyBorder="1">
      <alignment vertical="center"/>
    </xf>
    <xf numFmtId="170" fontId="81" fillId="0" borderId="0" xfId="0" applyNumberFormat="1" applyFont="1" applyAlignment="1" applyProtection="1">
      <alignment horizontal="left" vertical="center"/>
      <protection locked="0"/>
    </xf>
    <xf numFmtId="170" fontId="9" fillId="0" borderId="0" xfId="0" applyNumberFormat="1" applyFont="1" applyAlignment="1" applyProtection="1">
      <alignment horizontal="left" vertical="center"/>
      <protection locked="0"/>
    </xf>
    <xf numFmtId="0" fontId="77" fillId="5" borderId="2" xfId="0" applyFont="1" applyFill="1" applyBorder="1" applyAlignment="1" applyProtection="1">
      <alignment horizontal="left" vertical="center"/>
      <protection locked="0"/>
    </xf>
    <xf numFmtId="170" fontId="77" fillId="3" borderId="2" xfId="0" applyNumberFormat="1" applyFont="1" applyFill="1" applyBorder="1" applyAlignment="1" applyProtection="1">
      <alignment horizontal="left" vertical="center"/>
      <protection locked="0"/>
    </xf>
    <xf numFmtId="170" fontId="77" fillId="3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3" borderId="2" xfId="0" applyFont="1" applyFill="1" applyBorder="1" applyAlignment="1" applyProtection="1">
      <alignment horizontal="left" vertical="center"/>
      <protection locked="0"/>
    </xf>
    <xf numFmtId="14" fontId="77" fillId="3" borderId="2" xfId="0" applyNumberFormat="1" applyFont="1" applyFill="1" applyBorder="1" applyAlignment="1" applyProtection="1">
      <alignment horizontal="left" vertical="center"/>
      <protection locked="0"/>
    </xf>
    <xf numFmtId="0" fontId="77" fillId="3" borderId="2" xfId="0" applyFont="1" applyFill="1" applyBorder="1" applyAlignment="1" applyProtection="1">
      <alignment horizontal="left" vertical="center" wrapText="1"/>
      <protection locked="0"/>
    </xf>
    <xf numFmtId="170" fontId="77" fillId="4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4" borderId="2" xfId="0" applyFont="1" applyFill="1" applyBorder="1" applyAlignment="1" applyProtection="1">
      <alignment horizontal="left" vertical="center" wrapText="1"/>
      <protection locked="0"/>
    </xf>
    <xf numFmtId="170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70" fontId="76" fillId="2" borderId="2" xfId="0" applyNumberFormat="1" applyFont="1" applyFill="1" applyBorder="1" applyAlignment="1" applyProtection="1">
      <alignment horizontal="left" vertical="center"/>
      <protection locked="0"/>
    </xf>
    <xf numFmtId="14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76" fillId="2" borderId="2" xfId="0" applyNumberFormat="1" applyFont="1" applyFill="1" applyBorder="1" applyAlignment="1" applyProtection="1">
      <alignment horizontal="left" vertical="center"/>
      <protection locked="0"/>
    </xf>
    <xf numFmtId="0" fontId="81" fillId="8" borderId="2" xfId="0" applyFont="1" applyFill="1" applyBorder="1" applyAlignment="1" applyProtection="1">
      <alignment horizontal="left" vertical="center" wrapText="1"/>
      <protection locked="0"/>
    </xf>
    <xf numFmtId="0" fontId="81" fillId="8" borderId="2" xfId="0" applyFont="1" applyFill="1" applyBorder="1" applyAlignment="1" applyProtection="1">
      <alignment horizontal="left" vertical="center"/>
      <protection locked="0"/>
    </xf>
    <xf numFmtId="0" fontId="81" fillId="8" borderId="51" xfId="0" applyFont="1" applyFill="1" applyBorder="1" applyAlignment="1" applyProtection="1">
      <alignment horizontal="left" vertical="center"/>
      <protection locked="0"/>
    </xf>
    <xf numFmtId="170" fontId="76" fillId="2" borderId="4" xfId="0" applyNumberFormat="1" applyFont="1" applyFill="1" applyBorder="1" applyAlignment="1" applyProtection="1">
      <alignment horizontal="left" vertical="center" wrapText="1"/>
      <protection locked="0"/>
    </xf>
    <xf numFmtId="0" fontId="8" fillId="5" borderId="2" xfId="0" applyFont="1" applyFill="1" applyBorder="1" applyAlignment="1" applyProtection="1">
      <alignment horizontal="left" vertical="center"/>
      <protection locked="0"/>
    </xf>
    <xf numFmtId="170" fontId="9" fillId="4" borderId="2" xfId="0" applyNumberFormat="1" applyFont="1" applyFill="1" applyBorder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0" borderId="2" xfId="0" applyFont="1" applyBorder="1" applyAlignment="1" applyProtection="1">
      <alignment horizontal="left" vertical="center"/>
      <protection locked="0"/>
    </xf>
    <xf numFmtId="0" fontId="9" fillId="0" borderId="51" xfId="0" applyFont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0" fontId="9" fillId="0" borderId="4" xfId="0" applyNumberFormat="1" applyFont="1" applyBorder="1" applyAlignment="1" applyProtection="1">
      <alignment horizontal="left" vertical="center"/>
      <protection locked="0"/>
    </xf>
    <xf numFmtId="170" fontId="9" fillId="0" borderId="2" xfId="0" applyNumberFormat="1" applyFont="1" applyBorder="1" applyAlignment="1" applyProtection="1">
      <alignment horizontal="left" vertical="center"/>
      <protection locked="0"/>
    </xf>
    <xf numFmtId="14" fontId="81" fillId="0" borderId="2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170" fontId="81" fillId="0" borderId="2" xfId="0" applyNumberFormat="1" applyFont="1" applyBorder="1" applyAlignment="1" applyProtection="1">
      <alignment horizontal="left" vertical="center"/>
      <protection locked="0"/>
    </xf>
    <xf numFmtId="170" fontId="9" fillId="4" borderId="1" xfId="0" applyNumberFormat="1" applyFont="1" applyFill="1" applyBorder="1" applyAlignment="1" applyProtection="1">
      <alignment horizontal="left" vertical="center"/>
      <protection locked="0"/>
    </xf>
    <xf numFmtId="14" fontId="81" fillId="0" borderId="1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0" fontId="81" fillId="0" borderId="1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0" fontId="9" fillId="0" borderId="13" xfId="0" applyFont="1" applyBorder="1" applyAlignment="1" applyProtection="1">
      <alignment horizontal="left" vertical="center"/>
      <protection locked="0"/>
    </xf>
    <xf numFmtId="170" fontId="9" fillId="4" borderId="11" xfId="0" applyNumberFormat="1" applyFont="1" applyFill="1" applyBorder="1" applyAlignment="1" applyProtection="1">
      <alignment horizontal="left" vertical="center"/>
      <protection locked="0"/>
    </xf>
    <xf numFmtId="170" fontId="8" fillId="0" borderId="2" xfId="0" applyNumberFormat="1" applyFont="1" applyBorder="1" applyAlignment="1" applyProtection="1">
      <alignment horizontal="left" vertical="center"/>
      <protection locked="0"/>
    </xf>
    <xf numFmtId="170" fontId="9" fillId="0" borderId="1" xfId="0" applyNumberFormat="1" applyFont="1" applyBorder="1" applyAlignment="1" applyProtection="1">
      <alignment horizontal="left" vertical="center"/>
      <protection locked="0"/>
    </xf>
    <xf numFmtId="0" fontId="81" fillId="0" borderId="1" xfId="0" applyFont="1" applyBorder="1" applyAlignment="1" applyProtection="1">
      <alignment horizontal="left" vertical="center" wrapText="1"/>
      <protection locked="0"/>
    </xf>
    <xf numFmtId="0" fontId="9" fillId="8" borderId="1" xfId="0" applyFont="1" applyFill="1" applyBorder="1" applyAlignment="1" applyProtection="1">
      <alignment horizontal="left" vertical="center"/>
      <protection locked="0"/>
    </xf>
    <xf numFmtId="2" fontId="9" fillId="4" borderId="1" xfId="0" applyNumberFormat="1" applyFont="1" applyFill="1" applyBorder="1" applyAlignment="1" applyProtection="1">
      <alignment horizontal="left" vertical="center"/>
      <protection locked="0"/>
    </xf>
    <xf numFmtId="170" fontId="9" fillId="0" borderId="13" xfId="0" applyNumberFormat="1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 applyProtection="1">
      <alignment horizontal="left" vertical="center"/>
      <protection locked="0"/>
    </xf>
    <xf numFmtId="170" fontId="85" fillId="0" borderId="14" xfId="0" applyNumberFormat="1" applyFont="1" applyBorder="1" applyAlignment="1" applyProtection="1">
      <alignment horizontal="left" vertical="center"/>
      <protection locked="0"/>
    </xf>
    <xf numFmtId="14" fontId="9" fillId="0" borderId="1" xfId="0" applyNumberFormat="1" applyFont="1" applyBorder="1" applyAlignment="1" applyProtection="1">
      <alignment horizontal="left" vertical="center"/>
      <protection locked="0"/>
    </xf>
    <xf numFmtId="170" fontId="9" fillId="9" borderId="2" xfId="0" applyNumberFormat="1" applyFont="1" applyFill="1" applyBorder="1" applyAlignment="1" applyProtection="1">
      <alignment horizontal="left" vertical="center"/>
      <protection locked="0"/>
    </xf>
    <xf numFmtId="170" fontId="9" fillId="0" borderId="14" xfId="0" applyNumberFormat="1" applyFont="1" applyBorder="1" applyAlignment="1" applyProtection="1">
      <alignment horizontal="left" vertical="center"/>
      <protection locked="0"/>
    </xf>
    <xf numFmtId="170" fontId="9" fillId="0" borderId="61" xfId="0" applyNumberFormat="1" applyFont="1" applyBorder="1" applyAlignment="1" applyProtection="1">
      <alignment horizontal="left" vertical="center"/>
      <protection locked="0"/>
    </xf>
    <xf numFmtId="0" fontId="8" fillId="0" borderId="11" xfId="0" applyFont="1" applyBorder="1" applyAlignment="1" applyProtection="1">
      <alignment horizontal="left" vertical="center"/>
      <protection locked="0"/>
    </xf>
    <xf numFmtId="170" fontId="9" fillId="0" borderId="19" xfId="0" applyNumberFormat="1" applyFont="1" applyBorder="1" applyAlignment="1" applyProtection="1">
      <alignment horizontal="left" vertical="center"/>
      <protection locked="0"/>
    </xf>
    <xf numFmtId="170" fontId="9" fillId="0" borderId="11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4" fontId="9" fillId="0" borderId="11" xfId="0" applyNumberFormat="1" applyFont="1" applyBorder="1" applyAlignment="1" applyProtection="1">
      <alignment horizontal="left" vertical="center"/>
      <protection locked="0"/>
    </xf>
    <xf numFmtId="0" fontId="80" fillId="0" borderId="11" xfId="0" applyFont="1" applyBorder="1" applyAlignment="1" applyProtection="1">
      <alignment horizontal="left" vertical="center" wrapText="1"/>
      <protection locked="0"/>
    </xf>
    <xf numFmtId="0" fontId="9" fillId="4" borderId="11" xfId="0" applyFont="1" applyFill="1" applyBorder="1" applyAlignment="1" applyProtection="1">
      <alignment horizontal="left" vertical="center"/>
      <protection locked="0"/>
    </xf>
    <xf numFmtId="0" fontId="81" fillId="0" borderId="11" xfId="0" applyFont="1" applyBorder="1" applyAlignment="1" applyProtection="1">
      <alignment horizontal="left" vertical="center" wrapText="1"/>
      <protection locked="0"/>
    </xf>
    <xf numFmtId="170" fontId="8" fillId="0" borderId="11" xfId="0" applyNumberFormat="1" applyFont="1" applyBorder="1" applyAlignment="1" applyProtection="1">
      <alignment horizontal="left" vertical="center"/>
      <protection locked="0"/>
    </xf>
    <xf numFmtId="14" fontId="81" fillId="0" borderId="11" xfId="0" applyNumberFormat="1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170" fontId="81" fillId="0" borderId="11" xfId="0" applyNumberFormat="1" applyFont="1" applyBorder="1" applyAlignment="1" applyProtection="1">
      <alignment horizontal="left" vertical="center"/>
      <protection locked="0"/>
    </xf>
    <xf numFmtId="0" fontId="9" fillId="0" borderId="61" xfId="0" applyFont="1" applyBorder="1" applyAlignment="1" applyProtection="1">
      <alignment horizontal="left" vertical="center"/>
      <protection locked="0"/>
    </xf>
    <xf numFmtId="170" fontId="9" fillId="0" borderId="50" xfId="0" applyNumberFormat="1" applyFont="1" applyBorder="1" applyAlignment="1" applyProtection="1">
      <alignment horizontal="left" vertical="center"/>
      <protection locked="0"/>
    </xf>
    <xf numFmtId="14" fontId="9" fillId="0" borderId="2" xfId="0" applyNumberFormat="1" applyFont="1" applyBorder="1" applyAlignment="1" applyProtection="1">
      <alignment horizontal="left" vertical="center"/>
      <protection locked="0"/>
    </xf>
    <xf numFmtId="0" fontId="81" fillId="0" borderId="2" xfId="0" applyFont="1" applyBorder="1" applyAlignment="1" applyProtection="1">
      <alignment horizontal="left" vertical="center" wrapText="1"/>
      <protection locked="0"/>
    </xf>
    <xf numFmtId="0" fontId="8" fillId="9" borderId="2" xfId="0" applyFont="1" applyFill="1" applyBorder="1" applyAlignment="1" applyProtection="1">
      <alignment horizontal="left" vertical="center"/>
      <protection locked="0"/>
    </xf>
    <xf numFmtId="170" fontId="9" fillId="0" borderId="0" xfId="0" applyNumberFormat="1" applyFont="1" applyAlignment="1">
      <alignment horizontal="center" vertical="center"/>
    </xf>
    <xf numFmtId="170" fontId="81" fillId="0" borderId="0" xfId="0" applyNumberFormat="1" applyFont="1" applyAlignment="1" applyProtection="1">
      <alignment horizontal="center" vertical="center"/>
      <protection locked="0"/>
    </xf>
    <xf numFmtId="0" fontId="80" fillId="0" borderId="1" xfId="0" applyFont="1" applyBorder="1" applyAlignment="1" applyProtection="1">
      <alignment horizontal="left" vertical="center" wrapText="1"/>
      <protection locked="0"/>
    </xf>
    <xf numFmtId="0" fontId="22" fillId="31" borderId="2" xfId="1" applyNumberFormat="1" applyFont="1" applyFill="1" applyBorder="1" applyAlignment="1">
      <alignment horizontal="center" vertical="center" wrapText="1"/>
    </xf>
    <xf numFmtId="170" fontId="22" fillId="31" borderId="2" xfId="1" applyFont="1" applyFill="1" applyBorder="1" applyAlignment="1">
      <alignment horizontal="center" vertical="center" wrapText="1"/>
    </xf>
    <xf numFmtId="0" fontId="8" fillId="31" borderId="2" xfId="0" applyFont="1" applyFill="1" applyBorder="1" applyAlignment="1">
      <alignment horizontal="left" vertical="center"/>
    </xf>
    <xf numFmtId="14" fontId="8" fillId="31" borderId="2" xfId="0" applyNumberFormat="1" applyFont="1" applyFill="1" applyBorder="1" applyAlignment="1">
      <alignment horizontal="left" vertical="center"/>
    </xf>
    <xf numFmtId="168" fontId="10" fillId="31" borderId="2" xfId="1" applyNumberFormat="1" applyFont="1" applyFill="1" applyBorder="1" applyAlignment="1">
      <alignment horizontal="center" vertical="center"/>
    </xf>
    <xf numFmtId="170" fontId="2" fillId="31" borderId="2" xfId="1" applyFont="1" applyFill="1" applyBorder="1" applyAlignment="1">
      <alignment horizontal="center" vertical="center"/>
    </xf>
    <xf numFmtId="0" fontId="10" fillId="31" borderId="2" xfId="1" applyNumberFormat="1" applyFont="1" applyFill="1" applyBorder="1" applyAlignment="1">
      <alignment horizontal="center" vertical="center"/>
    </xf>
    <xf numFmtId="169" fontId="10" fillId="31" borderId="2" xfId="1" applyNumberFormat="1" applyFont="1" applyFill="1" applyBorder="1" applyAlignment="1">
      <alignment horizontal="center" vertical="center"/>
    </xf>
    <xf numFmtId="170" fontId="89" fillId="31" borderId="2" xfId="1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4" fontId="2" fillId="8" borderId="0" xfId="0" applyNumberFormat="1" applyFont="1" applyFill="1">
      <alignment vertical="center"/>
    </xf>
    <xf numFmtId="174" fontId="81" fillId="0" borderId="0" xfId="0" applyNumberFormat="1" applyFont="1" applyAlignment="1">
      <alignment horizontal="left" vertical="center"/>
    </xf>
    <xf numFmtId="170" fontId="26" fillId="9" borderId="24" xfId="0" applyNumberFormat="1" applyFont="1" applyFill="1" applyBorder="1" applyAlignment="1">
      <alignment horizontal="center" vertical="center"/>
    </xf>
    <xf numFmtId="170" fontId="26" fillId="9" borderId="25" xfId="0" applyNumberFormat="1" applyFont="1" applyFill="1" applyBorder="1" applyAlignment="1">
      <alignment horizontal="center" vertical="center"/>
    </xf>
    <xf numFmtId="170" fontId="26" fillId="10" borderId="26" xfId="0" applyNumberFormat="1" applyFont="1" applyFill="1" applyBorder="1" applyAlignment="1">
      <alignment horizontal="center" vertical="center"/>
    </xf>
    <xf numFmtId="170" fontId="26" fillId="10" borderId="25" xfId="0" applyNumberFormat="1" applyFont="1" applyFill="1" applyBorder="1" applyAlignment="1">
      <alignment horizontal="center" vertical="center"/>
    </xf>
    <xf numFmtId="170" fontId="37" fillId="0" borderId="35" xfId="0" applyNumberFormat="1" applyFont="1" applyBorder="1" applyAlignment="1">
      <alignment horizontal="center" vertical="center"/>
    </xf>
    <xf numFmtId="170" fontId="37" fillId="0" borderId="39" xfId="0" applyNumberFormat="1" applyFont="1" applyBorder="1" applyAlignment="1">
      <alignment horizontal="center" vertical="center"/>
    </xf>
    <xf numFmtId="170" fontId="37" fillId="0" borderId="36" xfId="0" applyNumberFormat="1" applyFont="1" applyBorder="1" applyAlignment="1">
      <alignment horizontal="center" vertical="center"/>
    </xf>
    <xf numFmtId="170" fontId="37" fillId="0" borderId="37" xfId="0" applyNumberFormat="1" applyFont="1" applyBorder="1" applyAlignment="1">
      <alignment horizontal="center" vertical="center"/>
    </xf>
    <xf numFmtId="170" fontId="37" fillId="0" borderId="38" xfId="0" applyNumberFormat="1" applyFont="1" applyBorder="1" applyAlignment="1">
      <alignment horizontal="center" vertical="center"/>
    </xf>
    <xf numFmtId="170" fontId="39" fillId="7" borderId="35" xfId="0" applyNumberFormat="1" applyFont="1" applyFill="1" applyBorder="1" applyAlignment="1">
      <alignment horizontal="center" vertical="center"/>
    </xf>
    <xf numFmtId="170" fontId="39" fillId="7" borderId="44" xfId="0" applyNumberFormat="1" applyFont="1" applyFill="1" applyBorder="1" applyAlignment="1">
      <alignment horizontal="center" vertical="center"/>
    </xf>
    <xf numFmtId="170" fontId="39" fillId="7" borderId="36" xfId="0" applyNumberFormat="1" applyFont="1" applyFill="1" applyBorder="1" applyAlignment="1">
      <alignment horizontal="center" vertical="center"/>
    </xf>
    <xf numFmtId="170" fontId="39" fillId="7" borderId="41" xfId="0" applyNumberFormat="1" applyFont="1" applyFill="1" applyBorder="1" applyAlignment="1">
      <alignment horizontal="center" vertical="center"/>
    </xf>
    <xf numFmtId="170" fontId="37" fillId="0" borderId="45" xfId="0" applyNumberFormat="1" applyFont="1" applyBorder="1" applyAlignment="1">
      <alignment horizontal="left" vertical="center"/>
    </xf>
    <xf numFmtId="170" fontId="37" fillId="0" borderId="46" xfId="0" applyNumberFormat="1" applyFont="1" applyBorder="1" applyAlignment="1">
      <alignment horizontal="left" vertical="center"/>
    </xf>
    <xf numFmtId="170" fontId="37" fillId="0" borderId="48" xfId="0" applyNumberFormat="1" applyFont="1" applyBorder="1" applyAlignment="1">
      <alignment horizontal="left" vertical="center"/>
    </xf>
    <xf numFmtId="170" fontId="37" fillId="0" borderId="0" xfId="0" applyNumberFormat="1" applyFont="1" applyAlignment="1">
      <alignment horizontal="left" vertical="center"/>
    </xf>
    <xf numFmtId="170" fontId="135" fillId="0" borderId="0" xfId="0" applyNumberFormat="1" applyFont="1" applyAlignment="1">
      <alignment horizontal="center" vertical="center"/>
    </xf>
    <xf numFmtId="170" fontId="33" fillId="13" borderId="1" xfId="0" applyNumberFormat="1" applyFont="1" applyFill="1" applyBorder="1" applyAlignment="1">
      <alignment horizontal="center" vertical="center"/>
    </xf>
    <xf numFmtId="170" fontId="6" fillId="0" borderId="0" xfId="0" applyNumberFormat="1" applyFont="1" applyAlignment="1">
      <alignment horizontal="center" vertical="center"/>
    </xf>
    <xf numFmtId="0" fontId="30" fillId="9" borderId="2" xfId="0" applyFont="1" applyFill="1" applyBorder="1" applyAlignment="1">
      <alignment horizontal="center" vertical="center" wrapText="1"/>
    </xf>
    <xf numFmtId="0" fontId="31" fillId="12" borderId="2" xfId="0" applyFont="1" applyFill="1" applyBorder="1" applyAlignment="1">
      <alignment horizontal="center" vertical="center"/>
    </xf>
    <xf numFmtId="170" fontId="32" fillId="11" borderId="2" xfId="0" applyNumberFormat="1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9" borderId="51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147" fillId="13" borderId="1" xfId="0" applyFont="1" applyFill="1" applyBorder="1" applyAlignment="1">
      <alignment horizontal="right" vertical="center"/>
    </xf>
    <xf numFmtId="0" fontId="150" fillId="13" borderId="1" xfId="0" applyFont="1" applyFill="1" applyBorder="1" applyAlignment="1">
      <alignment horizontal="right" vertical="center" wrapText="1"/>
    </xf>
    <xf numFmtId="0" fontId="147" fillId="13" borderId="14" xfId="0" applyFont="1" applyFill="1" applyBorder="1" applyAlignment="1">
      <alignment horizontal="right" vertical="center" wrapText="1"/>
    </xf>
    <xf numFmtId="0" fontId="29" fillId="8" borderId="51" xfId="0" applyFont="1" applyFill="1" applyBorder="1" applyAlignment="1">
      <alignment horizontal="center" vertical="center"/>
    </xf>
    <xf numFmtId="0" fontId="29" fillId="8" borderId="4" xfId="0" applyFont="1" applyFill="1" applyBorder="1" applyAlignment="1">
      <alignment horizontal="center" vertical="center"/>
    </xf>
    <xf numFmtId="0" fontId="32" fillId="4" borderId="51" xfId="0" applyFont="1" applyFill="1" applyBorder="1" applyAlignment="1">
      <alignment horizontal="center" vertical="center" wrapText="1"/>
    </xf>
    <xf numFmtId="0" fontId="32" fillId="4" borderId="69" xfId="0" applyFont="1" applyFill="1" applyBorder="1" applyAlignment="1">
      <alignment horizontal="center" vertical="center" wrapText="1"/>
    </xf>
    <xf numFmtId="0" fontId="32" fillId="4" borderId="4" xfId="0" applyFont="1" applyFill="1" applyBorder="1" applyAlignment="1">
      <alignment horizontal="center" vertical="center" wrapText="1"/>
    </xf>
    <xf numFmtId="0" fontId="126" fillId="8" borderId="1" xfId="0" applyFont="1" applyFill="1" applyBorder="1" applyAlignment="1">
      <alignment horizontal="center" vertical="center" wrapText="1"/>
    </xf>
    <xf numFmtId="0" fontId="126" fillId="8" borderId="20" xfId="0" applyFont="1" applyFill="1" applyBorder="1" applyAlignment="1">
      <alignment horizontal="center" vertical="center" wrapText="1"/>
    </xf>
    <xf numFmtId="0" fontId="126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Comma" xfId="3" builtinId="3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rmal" xfId="0" builtinId="0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  <cellStyle name="入力 2" xfId="46" xr:uid="{00000000-0005-0000-0000-000033000000}"/>
    <cellStyle name="入力 2 2" xfId="98" xr:uid="{95D830BD-5A92-47B7-89E3-92900CAA04D5}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</cellStyles>
  <dxfs count="6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72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2" formatCode="[$-409]mmm\-yy;@"/>
    </dxf>
    <dxf>
      <numFmt numFmtId="172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70"/>
      <tableStyleElement type="headerRow" dxfId="669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[south_stock_list.xlsx]Moving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-my.sharepoint.com/personal/faywang_sz_ese_com_hk/Documents/stock%20list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S2229">
            <v>0</v>
          </cell>
          <cell r="AT2229">
            <v>0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S2230">
            <v>0</v>
          </cell>
          <cell r="AT2230">
            <v>0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S2235">
            <v>0</v>
          </cell>
          <cell r="AT2235">
            <v>0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S2236">
            <v>0</v>
          </cell>
          <cell r="AT2236">
            <v>0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0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0">
      <sharedItems containsBlank="1"/>
    </cacheField>
    <cacheField name="Item" numFmtId="170">
      <sharedItems containsBlank="1"/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0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0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0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67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0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0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0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0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0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0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0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6941.09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0">
      <sharedItems containsBlank="1" count="5">
        <s v="已发货"/>
        <s v="已经到货"/>
        <s v="有交期"/>
        <s v="TBA"/>
        <m/>
      </sharedItems>
    </cacheField>
    <cacheField name="Org. " numFmtId="170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0">
      <sharedItems containsBlank="1"/>
    </cacheField>
    <cacheField name="Item" numFmtId="170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0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0">
      <sharedItems containsBlank="1"/>
    </cacheField>
    <cacheField name="Customer Reserved" numFmtId="170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0">
      <sharedItems containsBlank="1"/>
    </cacheField>
    <cacheField name="Direction2" numFmtId="170">
      <sharedItems containsBlank="1"/>
    </cacheField>
    <cacheField name="Item w config2" numFmtId="170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138422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138422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74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0.749726041664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6"/>
    </cacheField>
    <cacheField name="ETA Month" numFmtId="170">
      <sharedItems containsBlank="1" count="44">
        <s v="已发货"/>
        <s v="已经到货"/>
        <s v="TBA."/>
        <s v="有交期"/>
        <m/>
        <s v="JUL 22" u="1"/>
        <s v="AUG 21" u="1"/>
        <s v="JUN 21" u="1"/>
        <s v="MAR 22" u="1"/>
        <s v="AUG 22" u="1"/>
        <s v="JUN 22" u="1"/>
        <s v="MAR 23" u="1"/>
        <s v="TBA(预计10月)" u="1"/>
        <s v="MAY 21" u="1"/>
        <s v="MAY 22" u="1"/>
        <s v="OCT 22,即将入库" u="1"/>
        <s v="SEP 21" u="1"/>
        <s v="TBA(预计5月)" u="1"/>
        <s v="SEP 22" u="1"/>
        <s v="TBA(预计6月)" u="1"/>
        <s v="JAN 22" u="1"/>
        <s v="TBA(预计7月)" u="1"/>
        <s v="FEB 22" u="1"/>
        <s v=".TBA" u="1"/>
        <s v="APR 21" u="1"/>
        <s v="FEB 23" u="1"/>
        <s v="EXW OCT" u="1"/>
        <s v="TBA(预计8月)" u="1"/>
        <s v="TBA" u="1"/>
        <s v="APR 22" u="1"/>
        <s v="TBA(预计9月)" u="1"/>
        <s v="APR 23" u="1"/>
        <s v="NOV 21" u="1"/>
        <s v="EXW JUL" u="1"/>
        <s v="DEC 21" u="1"/>
        <s v="NOV 22" u="1"/>
        <s v="OCT 21" u="1"/>
        <s v="TBA(预计11月)" u="1"/>
        <s v="EXW AUG" u="1"/>
        <s v="EXW JUN" u="1"/>
        <s v="JUL 21" u="1"/>
        <s v="OCT 22" u="1"/>
        <s v="MAR 21" u="1"/>
        <s v="EXW SEP" u="1"/>
      </sharedItems>
    </cacheField>
    <cacheField name="Org. " numFmtId="170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0">
      <sharedItems containsBlank="1"/>
    </cacheField>
    <cacheField name="Item" numFmtId="170">
      <sharedItems containsBlank="1" count="19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</sharedItems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3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s v="Yamaha 深圳仓库"/>
        <d v="2024-02-23T00:00:00"/>
        <d v="2024-02-26T00:00:00"/>
        <d v="2024-02-28T00:00:00"/>
        <d v="2024-03-04T00:00:00"/>
        <d v="2024-03-01T00:00:00"/>
        <s v="ex-work 24年2月"/>
        <s v="ex-work 24年3月"/>
        <d v="2024-03-03T00:00:00" u="1"/>
        <s v="苏州仓库 9月中下旬" u="1"/>
        <d v="2023-09-01T00:00:00" u="1"/>
        <s v="疫情等待通知提货" u="1"/>
        <d v="2023-05-12T00:00:00" u="1"/>
        <s v="ex-work 23年10月" u="1"/>
        <d v="2023-05-05T00:00:00" u="1"/>
        <s v="ex-work 23年4月" u="1"/>
        <s v="ex-work 23年9月" u="1"/>
        <s v="北京单" u="1"/>
        <d v="2023-05-10T00:00:00" u="1"/>
        <d v="2023-05-03T00:00:00" u="1"/>
        <d v="2023-09-04T00:00:00" u="1"/>
        <s v="ex-work 23年1月" u="1"/>
        <s v="ex-work 23年6月" u="1"/>
        <s v="ex-work 24年1月" u="1"/>
        <d v="2023-01-31T00:00:00" u="1"/>
        <s v="ex-work 23年3月" u="1"/>
        <s v="富洛HK仓库" u="1"/>
        <d v="2023-01-03T00:00:00" u="1"/>
        <d v="2023-06-16T00:00:00" u="1"/>
        <d v="2023-11-29T00:00:00" u="1"/>
        <d v="2024-01-03T00:00:00" u="1"/>
        <s v="TBA" u="1"/>
        <s v="ex-work 23年5月" u="1"/>
        <s v="已经到达仓库" u="1"/>
        <d v="2023-06-21T00:00:00" u="1"/>
        <d v="2023-11-08T00:00:00" u="1"/>
        <s v="Yamaha 仓库" u="1"/>
        <s v="ex-work 23年12月" u="1"/>
        <s v="ex-work 23年2月" u="1"/>
        <s v="ex-work 23年7月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0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0">
      <sharedItems containsBlank="1"/>
    </cacheField>
    <cacheField name="Customer Reserved" numFmtId="170">
      <sharedItems containsBlank="1"/>
    </cacheField>
    <cacheField name="Item2" numFmtId="170">
      <sharedItems containsBlank="1"/>
    </cacheField>
    <cacheField name="Direction2" numFmtId="170">
      <sharedItems containsBlank="1"/>
    </cacheField>
    <cacheField name="Item w config2" numFmtId="170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02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1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FEB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s v="FEB 24"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70"/>
    <x v="1"/>
    <x v="0"/>
    <n v="111361"/>
    <s v="STK"/>
    <x v="1"/>
    <s v="R-&gt;L"/>
    <s v="No"/>
    <s v="Y67127"/>
    <n v="1"/>
    <s v="前海保税区"/>
    <x v="226"/>
    <n v="0.05"/>
    <m/>
    <n v="2023.8"/>
    <s v="JPY"/>
    <s v="C49SZX20230009MZ"/>
    <s v="鸿楠"/>
    <s v="YSM10"/>
    <s v="R-&gt;L"/>
    <s v="MVC"/>
    <s v="WRONG"/>
    <s v="CIF HK"/>
    <d v="2024-01-22T00:00:00"/>
    <s v="Yes"/>
    <m/>
    <m/>
    <m/>
    <m/>
  </r>
  <r>
    <n v="2061"/>
    <x v="1"/>
    <x v="0"/>
    <n v="111362"/>
    <s v="STK"/>
    <x v="12"/>
    <s v="L-&gt;R"/>
    <s v="No"/>
    <s v="Y67128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s v="FEB 24"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05"/>
    <x v="1"/>
    <x v="0"/>
    <n v="111362"/>
    <s v="STK"/>
    <x v="12"/>
    <s v="L-&gt;R"/>
    <s v="No"/>
    <s v="Y67130"/>
    <n v="1"/>
    <s v="前海保税区"/>
    <x v="227"/>
    <n v="0.05"/>
    <s v="FEB 24"/>
    <n v="2023.9"/>
    <s v="JPY"/>
    <s v="C49SZX20230115JY"/>
    <s v="万有"/>
    <s v="YSM20R-2"/>
    <s v="L-&gt;R"/>
    <s v="No"/>
    <s v="OK"/>
    <s v="DAP DG"/>
    <d v="2023-11-09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s v="MAR 24"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m/>
    <x v="1"/>
    <x v="0"/>
    <n v="111362"/>
    <s v="STK"/>
    <x v="12"/>
    <s v="L-&gt;R"/>
    <s v="No"/>
    <s v="Y67132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m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86"/>
    <x v="1"/>
    <x v="0"/>
    <n v="111421"/>
    <s v="STK"/>
    <x v="1"/>
    <s v="R-&gt;L"/>
    <s v="No"/>
    <s v="Y67718"/>
    <n v="1"/>
    <s v="前海保税区"/>
    <x v="229"/>
    <s v="NM,Coper rate 0.0495"/>
    <s v="FEB 24"/>
    <n v="2023.11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85"/>
    <x v="1"/>
    <x v="0"/>
    <n v="111464"/>
    <s v="STK"/>
    <x v="12"/>
    <s v="L-&gt;R"/>
    <s v="No"/>
    <s v="Y68129"/>
    <n v="1"/>
    <s v="前海保税区"/>
    <x v="231"/>
    <s v="NM,Coper rate 0.0512"/>
    <s v="FEB 24"/>
    <n v="2023.11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87"/>
    <x v="1"/>
    <x v="0"/>
    <n v="111464"/>
    <s v="STK"/>
    <x v="12"/>
    <s v="L-&gt;R"/>
    <s v="No"/>
    <s v="Y68130"/>
    <n v="1"/>
    <s v="前海保税区"/>
    <x v="231"/>
    <s v="NM,Coper rate 0.0512"/>
    <s v="FEB 24"/>
    <n v="2023.12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s v="FEB 24"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5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79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40"/>
    <x v="3"/>
    <x v="0"/>
    <n v="111482"/>
    <s v="STK"/>
    <x v="12"/>
    <s v="L-&gt;R"/>
    <s v="cATS10+ANC+MVC+special layout"/>
    <s v="Y68427"/>
    <n v="1"/>
    <m/>
    <x v="234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3"/>
    <x v="1"/>
    <s v="B28111487"/>
    <s v="锐诚名义下单"/>
    <x v="13"/>
    <s v="L-&gt;R"/>
    <s v="No"/>
    <s v="Y68432"/>
    <n v="1"/>
    <m/>
    <x v="235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3"/>
    <x v="0"/>
    <n v="111503"/>
    <s v="徕芬名义下单"/>
    <x v="12"/>
    <s v="L-&gt;R"/>
    <s v="cATS10+MVC+Feeder Carriage"/>
    <s v="Y68524"/>
    <n v="1"/>
    <m/>
    <x v="235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3"/>
    <x v="0"/>
    <n v="111503"/>
    <s v="徕芬名义下单"/>
    <x v="12"/>
    <s v="L-&gt;R"/>
    <s v="cATS10+MVC+Feeder Carriage"/>
    <s v="Y68525"/>
    <n v="1"/>
    <m/>
    <x v="235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96"/>
    <x v="3"/>
    <x v="0"/>
    <n v="111521"/>
    <s v="STK"/>
    <x v="1"/>
    <s v="R-&gt;L"/>
    <s v="ATS15"/>
    <m/>
    <n v="1"/>
    <m/>
    <x v="237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65"/>
    <x v="3"/>
    <x v="0"/>
    <n v="111521"/>
    <s v="STK"/>
    <x v="1"/>
    <s v="R-&gt;L"/>
    <s v="ATS15"/>
    <m/>
    <n v="1"/>
    <m/>
    <x v="237"/>
    <n v="4.9299999999999997E-2"/>
    <s v="TBA."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62"/>
    <x v="3"/>
    <x v="0"/>
    <n v="111521"/>
    <s v="STK"/>
    <x v="1"/>
    <s v="R-&gt;L"/>
    <s v="No"/>
    <m/>
    <n v="1"/>
    <m/>
    <x v="237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3"/>
    <x v="0"/>
    <n v="111521"/>
    <s v="STK"/>
    <x v="1"/>
    <s v="R-&gt;L"/>
    <s v="No"/>
    <m/>
    <n v="1"/>
    <m/>
    <x v="237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m/>
    <x v="3"/>
    <x v="0"/>
    <s v="111521(拆分PO111534)"/>
    <s v="STK"/>
    <x v="1"/>
    <s v="R-&gt;L"/>
    <s v="ATS15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21(拆分PO111534)"/>
    <s v="STK"/>
    <x v="1"/>
    <s v="R-&gt;L"/>
    <s v="No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3"/>
    <x v="0"/>
    <n v="111522"/>
    <s v="STK"/>
    <x v="12"/>
    <s v="R-&gt;L"/>
    <m/>
    <m/>
    <n v="1"/>
    <m/>
    <x v="238"/>
    <n v="4.9299999999999997E-2"/>
    <s v="FEB 24"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3"/>
    <x v="0"/>
    <s v="111522(拆分PO111535)"/>
    <s v="STK"/>
    <x v="12"/>
    <s v="R-&gt;L"/>
    <m/>
    <m/>
    <n v="1"/>
    <m/>
    <x v="238"/>
    <s v="NM"/>
    <s v="TBA."/>
    <m/>
    <e v="#N/A"/>
    <e v="#N/A"/>
    <e v="#N/A"/>
    <e v="#N/A"/>
    <e v="#N/A"/>
    <e v="#N/A"/>
    <e v="#N/A"/>
    <e v="#N/A"/>
    <e v="#N/A"/>
    <e v="#N/A"/>
    <m/>
    <m/>
    <m/>
    <m/>
  </r>
  <r>
    <n v="2066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2"/>
    <x v="0"/>
    <s v="111536(拆分PO111542)"/>
    <s v="STK"/>
    <x v="1"/>
    <s v="R-&gt;L"/>
    <s v="MVC+Coplanarity checker"/>
    <m/>
    <n v="1"/>
    <m/>
    <x v="239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2"/>
    <x v="0"/>
    <s v="111536(拆分PO111542)"/>
    <s v="STK"/>
    <x v="1"/>
    <s v="R-&gt;L"/>
    <s v="MVC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2"/>
    <x v="1"/>
    <s v="B28111537"/>
    <s v="鸿楠名义下单"/>
    <x v="13"/>
    <s v="L-&gt;R"/>
    <s v="No"/>
    <m/>
    <n v="1"/>
    <m/>
    <x v="239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R-&gt;L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s v="ATS15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9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70" outline="0" showAll="0"/>
    <pivotField axis="axisRow" compact="0" numFmtId="170" outline="0" showAll="0">
      <items count="45">
        <item h="1" x="4"/>
        <item x="1"/>
        <item h="1" x="0"/>
        <item m="1" x="7"/>
        <item m="1" x="40"/>
        <item m="1" x="6"/>
        <item m="1" x="16"/>
        <item m="1" x="17"/>
        <item m="1" x="19"/>
        <item m="1" x="21"/>
        <item m="1" x="27"/>
        <item m="1" x="13"/>
        <item m="1" x="42"/>
        <item m="1" x="24"/>
        <item m="1" x="30"/>
        <item m="1" x="12"/>
        <item m="1" x="36"/>
        <item m="1" x="32"/>
        <item m="1" x="28"/>
        <item m="1" x="37"/>
        <item m="1" x="34"/>
        <item m="1" x="20"/>
        <item m="1" x="22"/>
        <item m="1" x="8"/>
        <item m="1" x="29"/>
        <item m="1" x="14"/>
        <item m="1" x="10"/>
        <item m="1" x="5"/>
        <item x="3"/>
        <item m="1" x="39"/>
        <item m="1" x="33"/>
        <item m="1" x="43"/>
        <item m="1" x="26"/>
        <item m="1" x="38"/>
        <item m="1" x="9"/>
        <item m="1" x="18"/>
        <item m="1" x="41"/>
        <item m="1" x="35"/>
        <item m="1" x="15"/>
        <item m="1" x="25"/>
        <item m="1" x="11"/>
        <item m="1" x="31"/>
        <item h="1" m="1" x="23"/>
        <item x="2"/>
        <item t="default"/>
      </items>
    </pivotField>
    <pivotField axis="axisRow" compact="0" numFmtId="170" outline="0" showAll="0" defaultSubtotal="0">
      <items count="4">
        <item m="1" x="3"/>
        <item x="0"/>
        <item x="2"/>
        <item x="1"/>
      </items>
    </pivotField>
    <pivotField compact="0" numFmtId="170" outline="0" showAll="0"/>
    <pivotField compact="0" numFmtId="170" outline="0" showAll="0"/>
    <pivotField axis="axisRow" compact="0" numFmtId="170" outline="0" showAll="0">
      <items count="20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t="default"/>
      </items>
    </pivotField>
    <pivotField compact="0" numFmtId="170" outline="0" showAll="0"/>
    <pivotField compact="0" numFmtId="170" outline="0" showAll="0"/>
    <pivotField compact="0" numFmtId="170" outline="0" showAll="0"/>
    <pivotField dataField="1" compact="0" numFmtId="170" outline="0" showAll="0"/>
    <pivotField compact="0" numFmtId="170" outline="0" showAll="0"/>
    <pivotField axis="axisRow" compact="0" numFmtId="170" outline="0" showAll="0" defaultSubtotal="0">
      <items count="273">
        <item x="149"/>
        <item x="113"/>
        <item x="206"/>
        <item x="207"/>
        <item x="176"/>
        <item x="210"/>
        <item m="1" x="254"/>
        <item m="1" x="271"/>
        <item m="1" x="258"/>
        <item m="1" x="248"/>
        <item m="1" x="265"/>
        <item m="1" x="264"/>
        <item x="1"/>
        <item m="1" x="269"/>
        <item m="1" x="259"/>
        <item m="1" x="242"/>
        <item m="1" x="266"/>
        <item x="2"/>
        <item m="1" x="244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2"/>
        <item m="1" x="251"/>
        <item m="1" x="247"/>
        <item m="1" x="245"/>
        <item x="216"/>
        <item x="217"/>
        <item m="1" x="250"/>
        <item m="1" x="255"/>
        <item m="1" x="261"/>
        <item m="1" x="267"/>
        <item x="137"/>
        <item x="146"/>
        <item x="154"/>
        <item x="155"/>
        <item x="161"/>
        <item x="211"/>
        <item x="218"/>
        <item x="219"/>
        <item x="220"/>
        <item x="221"/>
        <item m="1" x="272"/>
        <item x="222"/>
        <item m="1" x="249"/>
        <item x="224"/>
        <item m="1" x="243"/>
        <item x="223"/>
        <item m="1" x="253"/>
        <item x="225"/>
        <item x="226"/>
        <item x="227"/>
        <item m="1" x="246"/>
        <item m="1" x="256"/>
        <item m="1" x="268"/>
        <item m="1" x="270"/>
        <item x="228"/>
        <item m="1" x="262"/>
        <item x="229"/>
        <item x="230"/>
        <item m="1" x="263"/>
        <item m="1" x="260"/>
        <item x="239"/>
        <item x="231"/>
        <item m="1" x="257"/>
        <item x="232"/>
        <item x="234"/>
        <item x="235"/>
        <item x="236"/>
        <item m="1" x="241"/>
        <item x="233"/>
        <item x="237"/>
        <item x="240"/>
        <item x="238"/>
      </items>
    </pivotField>
    <pivotField compact="0" numFmtId="170" outline="0" showAll="0"/>
    <pivotField compact="0" numFmtId="170" outline="0" showAll="0"/>
    <pivotField compact="0" numFmtId="170" outline="0" showAll="0" defaultSubtotal="0"/>
    <pivotField compact="0" numFmtId="170" outline="0" showAll="0"/>
    <pivotField compact="0" numFmtId="170" outline="0" showAll="0"/>
    <pivotField compact="0" numFmtId="170" outline="0" multipleItemSelectionAllowed="1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 defaultSubtotal="0"/>
    <pivotField compact="0" numFmtId="170" outline="0" showAll="0" defaultSubtotal="0"/>
  </pivotFields>
  <rowFields count="4">
    <field x="1"/>
    <field x="2"/>
    <field x="5"/>
    <field x="11"/>
  </rowFields>
  <rowItems count="33">
    <i>
      <x v="1"/>
      <x v="1"/>
      <x/>
      <x v="248"/>
    </i>
    <i r="3">
      <x v="249"/>
    </i>
    <i r="3">
      <x v="257"/>
    </i>
    <i r="3">
      <x v="262"/>
    </i>
    <i t="default" r="2">
      <x/>
    </i>
    <i r="2">
      <x v="12"/>
      <x v="248"/>
    </i>
    <i r="3">
      <x v="250"/>
    </i>
    <i r="3">
      <x v="262"/>
    </i>
    <i t="default" r="2">
      <x v="12"/>
    </i>
    <i r="2">
      <x v="18"/>
      <x v="262"/>
    </i>
    <i t="default" r="2">
      <x v="18"/>
    </i>
    <i t="default">
      <x v="1"/>
    </i>
    <i>
      <x v="28"/>
      <x v="1"/>
      <x/>
      <x v="270"/>
    </i>
    <i t="default" r="2">
      <x/>
    </i>
    <i r="2">
      <x v="12"/>
      <x v="265"/>
    </i>
    <i r="3">
      <x v="266"/>
    </i>
    <i r="3">
      <x v="272"/>
    </i>
    <i t="default" r="2">
      <x v="12"/>
    </i>
    <i r="1">
      <x v="3"/>
      <x v="14"/>
      <x v="266"/>
    </i>
    <i r="3">
      <x v="267"/>
    </i>
    <i t="default" r="2">
      <x v="14"/>
    </i>
    <i t="default">
      <x v="28"/>
    </i>
    <i>
      <x v="43"/>
      <x v="1"/>
      <x/>
      <x v="261"/>
    </i>
    <i r="3">
      <x v="271"/>
    </i>
    <i t="default" r="2">
      <x/>
    </i>
    <i r="2">
      <x v="2"/>
      <x v="269"/>
    </i>
    <i t="default" r="2">
      <x v="2"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43"/>
    </i>
    <i t="grand">
      <x/>
    </i>
  </rowItems>
  <colItems count="1">
    <i/>
  </colItems>
  <dataFields count="1">
    <dataField name="Sum of QTY" fld="9" baseField="0" baseItem="0" numFmtId="170"/>
  </dataFields>
  <formats count="44">
    <format dxfId="668">
      <pivotArea outline="0" collapsedLevelsAreSubtotals="1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grandRow="1" outline="0" fieldPosition="0"/>
    </format>
    <format dxfId="663">
      <pivotArea dataOnly="0" labelOnly="1" grandCol="1" outline="0" fieldPosition="0"/>
    </format>
    <format dxfId="662">
      <pivotArea outline="0" fieldPosition="0">
        <references count="1">
          <reference field="1" count="1" selected="0" defaultSubtotal="1">
            <x v="1"/>
          </reference>
        </references>
      </pivotArea>
    </format>
    <format dxfId="661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60">
      <pivotArea dataOnly="0" outline="0" fieldPosition="0">
        <references count="1">
          <reference field="1" count="0" defaultSubtotal="1"/>
        </references>
      </pivotArea>
    </format>
    <format dxfId="659">
      <pivotArea type="all" dataOnly="0" outline="0" fieldPosition="0"/>
    </format>
    <format dxfId="658">
      <pivotArea outline="0" collapsedLevelsAreSubtotals="1" fieldPosition="0"/>
    </format>
    <format dxfId="657">
      <pivotArea type="topRight" dataOnly="0" labelOnly="1" outline="0" fieldPosition="0"/>
    </format>
    <format dxfId="656">
      <pivotArea dataOnly="0" labelOnly="1" outline="0" fieldPosition="0">
        <references count="1">
          <reference field="1" count="0"/>
        </references>
      </pivotArea>
    </format>
    <format dxfId="655">
      <pivotArea dataOnly="0" labelOnly="1" outline="0" fieldPosition="0">
        <references count="1">
          <reference field="1" count="0" defaultSubtotal="1"/>
        </references>
      </pivotArea>
    </format>
    <format dxfId="654">
      <pivotArea dataOnly="0" labelOnly="1" grandRow="1" outline="0" fieldPosition="0"/>
    </format>
    <format dxfId="653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652">
      <pivotArea dataOnly="0" labelOnly="1" outline="0" fieldPosition="0">
        <references count="2">
          <reference field="1" count="1" selected="0">
            <x v="18"/>
          </reference>
          <reference field="2" count="1">
            <x v="1"/>
          </reference>
        </references>
      </pivotArea>
    </format>
    <format dxfId="651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2">
            <x v="1"/>
            <x v="2"/>
          </reference>
        </references>
      </pivotArea>
    </format>
    <format dxfId="65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3">
            <x v="0"/>
            <x v="2"/>
            <x v="12"/>
          </reference>
        </references>
      </pivotArea>
    </format>
    <format dxfId="649">
      <pivotArea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8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7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45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44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43">
      <pivotArea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2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1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9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8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7">
      <pivotArea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6">
      <pivotArea dataOnly="0" labelOnly="1"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5">
      <pivotArea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34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33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32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1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0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29">
      <pivotArea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8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7">
      <pivotArea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5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5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70" showAll="0"/>
    <pivotField axis="axisRow" numFmtId="170" showAll="0">
      <items count="6">
        <item x="3"/>
        <item h="1" x="0"/>
        <item x="1"/>
        <item x="4"/>
        <item x="2"/>
        <item t="default"/>
      </items>
    </pivotField>
    <pivotField numFmtId="170" showAll="0" defaultSubtotal="0"/>
    <pivotField numFmtId="170" showAll="0"/>
    <pivotField numFmtId="170" showAll="0"/>
    <pivotField axis="axisRow" numFmtId="170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 defaultSubtotal="0"/>
    <pivotField numFmtId="170" showAll="0"/>
    <pivotField numFmtId="170" showAll="0"/>
    <pivotField axis="axisPage" dataField="1" numFmtId="170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0" showAll="0"/>
    <pivotField numFmtId="170" showAll="0"/>
    <pivotField numFmtId="170" showAll="0"/>
    <pivotField numFmtId="170" showAll="0"/>
    <pivotField showAll="0"/>
    <pivotField numFmtId="170" showAll="0"/>
    <pivotField axis="axisRow" numFmtId="170" showAll="0">
      <items count="5">
        <item h="1" x="2"/>
        <item h="1" x="0"/>
        <item x="1"/>
        <item x="3"/>
        <item t="default"/>
      </items>
    </pivotField>
    <pivotField numFmtId="170" showAll="0"/>
    <pivotField numFmtId="170" showAll="0"/>
    <pivotField numFmtId="170" showAll="0"/>
    <pivotField numFmtId="170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0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0"/>
  <sheetViews>
    <sheetView zoomScale="70" zoomScaleNormal="70" workbookViewId="0">
      <selection activeCell="G20" sqref="G20"/>
    </sheetView>
  </sheetViews>
  <sheetFormatPr defaultColWidth="9" defaultRowHeight="13.8"/>
  <cols>
    <col min="1" max="1" width="13.21875" style="1" customWidth="1"/>
    <col min="2" max="2" width="10.77734375" style="343" bestFit="1" customWidth="1"/>
    <col min="3" max="3" width="14.77734375" style="1" customWidth="1"/>
    <col min="4" max="4" width="21" style="383" bestFit="1" customWidth="1"/>
    <col min="5" max="5" width="9" style="1" customWidth="1"/>
    <col min="6" max="6" width="7.77734375" style="1" bestFit="1" customWidth="1"/>
    <col min="7" max="7" width="6.77734375" style="1" customWidth="1"/>
    <col min="8" max="8" width="5.21875" style="1" customWidth="1"/>
    <col min="9" max="9" width="18" style="1" bestFit="1" customWidth="1"/>
    <col min="10" max="10" width="10.44140625" style="1" bestFit="1" customWidth="1"/>
    <col min="11" max="11" width="11.77734375" style="1" customWidth="1"/>
    <col min="12" max="13" width="12.21875" style="1" customWidth="1"/>
    <col min="14" max="14" width="16.21875" style="1" customWidth="1"/>
    <col min="15" max="15" width="17.21875" style="1" customWidth="1"/>
    <col min="16" max="16" width="34.21875" style="1" customWidth="1"/>
    <col min="17" max="17" width="35.21875" style="1" customWidth="1"/>
    <col min="18" max="18" width="6.21875" style="1" customWidth="1"/>
    <col min="19" max="19" width="14" style="1" bestFit="1" customWidth="1"/>
    <col min="20" max="20" width="11.21875" style="1" bestFit="1" customWidth="1"/>
    <col min="21" max="21" width="16.21875" style="1" bestFit="1" customWidth="1"/>
    <col min="22" max="23" width="5.77734375" style="1" customWidth="1"/>
    <col min="24" max="24" width="6.21875" style="1" customWidth="1"/>
    <col min="25" max="25" width="14" style="1" bestFit="1" customWidth="1"/>
    <col min="26" max="26" width="7.21875" style="1" customWidth="1"/>
    <col min="27" max="27" width="5.77734375" style="1" customWidth="1"/>
    <col min="28" max="28" width="17.77734375" style="1" bestFit="1" customWidth="1"/>
    <col min="29" max="30" width="5.77734375" style="1" customWidth="1"/>
    <col min="31" max="32" width="7.77734375" style="1" customWidth="1"/>
    <col min="33" max="33" width="6.21875" style="1" customWidth="1"/>
    <col min="34" max="34" width="10.21875" style="1" bestFit="1" customWidth="1"/>
    <col min="35" max="35" width="9.77734375" style="1" bestFit="1" customWidth="1"/>
    <col min="36" max="39" width="7.77734375" style="1" customWidth="1"/>
    <col min="40" max="40" width="35.77734375" style="1" bestFit="1" customWidth="1"/>
    <col min="41" max="41" width="13.21875" style="1" bestFit="1" customWidth="1"/>
    <col min="42" max="42" width="15.21875" style="1" bestFit="1" customWidth="1"/>
    <col min="43" max="43" width="12.77734375" style="1" bestFit="1" customWidth="1"/>
    <col min="44" max="45" width="9.21875" style="1" bestFit="1" customWidth="1"/>
    <col min="46" max="46" width="16.21875" style="1" bestFit="1" customWidth="1"/>
    <col min="47" max="47" width="5.77734375" style="1" customWidth="1"/>
    <col min="48" max="49" width="7.77734375" style="1" customWidth="1"/>
    <col min="50" max="50" width="5.77734375" style="1" customWidth="1"/>
    <col min="51" max="51" width="17.77734375" style="1" bestFit="1" customWidth="1"/>
    <col min="52" max="53" width="5.77734375" style="1" customWidth="1"/>
    <col min="54" max="54" width="7.77734375" style="1" customWidth="1"/>
    <col min="55" max="55" width="5.77734375" style="1" customWidth="1"/>
    <col min="56" max="56" width="9.77734375" style="1" bestFit="1" customWidth="1"/>
    <col min="57" max="57" width="7.77734375" style="1" customWidth="1"/>
    <col min="58" max="59" width="5.77734375" style="1" customWidth="1"/>
    <col min="60" max="60" width="7.77734375" style="1" customWidth="1"/>
    <col min="61" max="61" width="5.77734375" style="1" customWidth="1"/>
    <col min="62" max="62" width="7.77734375" style="1" customWidth="1"/>
    <col min="63" max="63" width="6.21875" style="1" customWidth="1"/>
    <col min="64" max="64" width="15.21875" style="1" bestFit="1" customWidth="1"/>
    <col min="65" max="65" width="10" style="1" bestFit="1" customWidth="1"/>
    <col min="66" max="67" width="5.77734375" style="1" customWidth="1"/>
    <col min="68" max="68" width="6.21875" style="1" customWidth="1"/>
    <col min="69" max="69" width="8" style="1" customWidth="1"/>
    <col min="70" max="70" width="13.21875" style="1" bestFit="1" customWidth="1"/>
    <col min="71" max="71" width="5.77734375" style="1" customWidth="1"/>
    <col min="72" max="16384" width="9" style="1"/>
  </cols>
  <sheetData>
    <row r="1" spans="1:14" ht="14.4">
      <c r="A1"/>
      <c r="B1" s="256"/>
      <c r="C1"/>
      <c r="D1" s="382" t="s">
        <v>1723</v>
      </c>
      <c r="E1"/>
      <c r="F1"/>
      <c r="G1"/>
      <c r="H1"/>
      <c r="I1" s="18"/>
      <c r="J1" s="18"/>
    </row>
    <row r="2" spans="1:14" ht="14.4">
      <c r="A2"/>
      <c r="B2" s="256"/>
      <c r="C2"/>
      <c r="D2" s="382"/>
      <c r="E2"/>
      <c r="F2"/>
      <c r="G2"/>
      <c r="H2"/>
      <c r="I2" s="19" t="s">
        <v>166</v>
      </c>
      <c r="J2" s="19" t="s">
        <v>167</v>
      </c>
      <c r="K2" s="19" t="s">
        <v>168</v>
      </c>
      <c r="L2" s="20" t="s">
        <v>169</v>
      </c>
      <c r="M2" s="20" t="s">
        <v>170</v>
      </c>
      <c r="N2" s="21" t="s">
        <v>171</v>
      </c>
    </row>
    <row r="3" spans="1:14" ht="14.25" customHeight="1">
      <c r="A3"/>
      <c r="B3" s="256"/>
      <c r="C3"/>
      <c r="D3" s="382"/>
      <c r="E3"/>
      <c r="F3"/>
      <c r="G3"/>
      <c r="I3" s="22" t="s">
        <v>172</v>
      </c>
      <c r="J3" s="22">
        <v>2</v>
      </c>
      <c r="K3" s="22">
        <v>15</v>
      </c>
      <c r="L3" s="23">
        <v>0</v>
      </c>
      <c r="M3" s="23" t="s">
        <v>173</v>
      </c>
      <c r="N3" s="24">
        <v>6</v>
      </c>
    </row>
    <row r="4" spans="1:14" ht="14.25" customHeight="1">
      <c r="A4"/>
      <c r="B4" s="256"/>
      <c r="C4"/>
      <c r="D4" s="382"/>
      <c r="E4"/>
      <c r="F4"/>
      <c r="G4"/>
      <c r="I4" s="22" t="s">
        <v>174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4.4" thickBot="1">
      <c r="A5" s="329" t="s">
        <v>175</v>
      </c>
      <c r="B5" s="48"/>
      <c r="C5" s="48"/>
      <c r="D5" s="343"/>
      <c r="E5" s="48"/>
      <c r="I5" s="25" t="s">
        <v>176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2" thickTop="1">
      <c r="A6" s="329" t="s">
        <v>0</v>
      </c>
      <c r="B6" s="329" t="s">
        <v>1</v>
      </c>
      <c r="C6" s="329" t="s">
        <v>3</v>
      </c>
      <c r="D6" s="625" t="s">
        <v>6</v>
      </c>
      <c r="E6" s="48" t="s">
        <v>140</v>
      </c>
      <c r="I6" s="31"/>
      <c r="J6" s="629">
        <f>SUM(J5:K5)</f>
        <v>86</v>
      </c>
      <c r="K6" s="630"/>
      <c r="L6" s="631">
        <f>SUM(L5:M5)</f>
        <v>69</v>
      </c>
      <c r="M6" s="632"/>
      <c r="N6" s="32">
        <f>SUM(N5)</f>
        <v>48</v>
      </c>
    </row>
    <row r="7" spans="1:14">
      <c r="A7" s="48" t="s">
        <v>72</v>
      </c>
      <c r="B7" s="48" t="s">
        <v>16</v>
      </c>
      <c r="C7" s="48" t="s">
        <v>18</v>
      </c>
      <c r="D7" s="343">
        <v>45175</v>
      </c>
      <c r="E7" s="48">
        <v>1</v>
      </c>
    </row>
    <row r="8" spans="1:14">
      <c r="A8" s="48"/>
      <c r="B8" s="48"/>
      <c r="C8" s="48"/>
      <c r="D8" s="343">
        <v>45194</v>
      </c>
      <c r="E8" s="48">
        <v>2</v>
      </c>
    </row>
    <row r="9" spans="1:14" ht="14.4" thickBot="1">
      <c r="A9" s="48"/>
      <c r="B9" s="48"/>
      <c r="C9" s="48"/>
      <c r="D9" s="343">
        <v>45261</v>
      </c>
      <c r="E9" s="48">
        <v>2</v>
      </c>
    </row>
    <row r="10" spans="1:14" ht="15" thickBot="1">
      <c r="A10" s="48"/>
      <c r="B10" s="48"/>
      <c r="C10" s="48"/>
      <c r="D10" s="343">
        <v>45296</v>
      </c>
      <c r="E10" s="48">
        <v>3</v>
      </c>
      <c r="I10" s="633" t="s">
        <v>177</v>
      </c>
      <c r="J10" s="635" t="s">
        <v>178</v>
      </c>
      <c r="K10" s="636"/>
      <c r="L10" s="637" t="s">
        <v>179</v>
      </c>
      <c r="M10" s="636"/>
      <c r="N10" s="33"/>
    </row>
    <row r="11" spans="1:14" ht="15" thickBot="1">
      <c r="A11" s="48"/>
      <c r="B11" s="48"/>
      <c r="C11" s="57" t="s">
        <v>1170</v>
      </c>
      <c r="D11" s="626"/>
      <c r="E11" s="57">
        <v>8</v>
      </c>
      <c r="I11" s="634"/>
      <c r="J11" s="34" t="s">
        <v>180</v>
      </c>
      <c r="K11" s="34" t="s">
        <v>181</v>
      </c>
      <c r="L11" s="34" t="s">
        <v>180</v>
      </c>
      <c r="M11" s="34" t="s">
        <v>181</v>
      </c>
      <c r="N11" s="33"/>
    </row>
    <row r="12" spans="1:14" ht="15" thickBot="1">
      <c r="A12" s="48"/>
      <c r="B12" s="48"/>
      <c r="C12" s="48" t="s">
        <v>55</v>
      </c>
      <c r="D12" s="343">
        <v>45175</v>
      </c>
      <c r="E12" s="48">
        <v>1</v>
      </c>
      <c r="I12" s="35" t="s">
        <v>182</v>
      </c>
      <c r="J12" s="34">
        <v>22</v>
      </c>
      <c r="K12" s="34">
        <v>2</v>
      </c>
      <c r="L12" s="34"/>
      <c r="M12" s="34"/>
      <c r="N12" s="36"/>
    </row>
    <row r="13" spans="1:14" ht="15" thickBot="1">
      <c r="A13" s="48"/>
      <c r="B13" s="48"/>
      <c r="C13" s="48"/>
      <c r="D13" s="343">
        <v>45205</v>
      </c>
      <c r="E13" s="48">
        <v>5</v>
      </c>
      <c r="I13" s="35" t="s">
        <v>183</v>
      </c>
      <c r="J13" s="34">
        <v>5</v>
      </c>
      <c r="K13" s="34">
        <v>5</v>
      </c>
      <c r="L13" s="34"/>
      <c r="M13" s="34"/>
      <c r="N13" s="37"/>
    </row>
    <row r="14" spans="1:14" ht="15" thickBot="1">
      <c r="A14" s="48"/>
      <c r="B14" s="48"/>
      <c r="C14" s="48"/>
      <c r="D14" s="343">
        <v>45296</v>
      </c>
      <c r="E14" s="48">
        <v>4</v>
      </c>
      <c r="I14" s="38" t="s">
        <v>21</v>
      </c>
      <c r="J14" s="39">
        <v>1</v>
      </c>
      <c r="K14" s="39">
        <v>19</v>
      </c>
      <c r="L14" s="39"/>
      <c r="M14" s="39"/>
      <c r="N14" s="37"/>
    </row>
    <row r="15" spans="1:14" ht="15" thickBot="1">
      <c r="A15" s="48"/>
      <c r="B15" s="48"/>
      <c r="C15" s="57" t="s">
        <v>1178</v>
      </c>
      <c r="D15" s="626"/>
      <c r="E15" s="57">
        <v>10</v>
      </c>
      <c r="I15" s="638" t="s">
        <v>184</v>
      </c>
      <c r="J15" s="40">
        <f>SUM(J12:J14)</f>
        <v>28</v>
      </c>
      <c r="K15" s="40">
        <f>SUM(K12:K14)</f>
        <v>26</v>
      </c>
      <c r="L15" s="40"/>
      <c r="M15" s="40"/>
      <c r="N15" s="638"/>
    </row>
    <row r="16" spans="1:14" ht="15" thickBot="1">
      <c r="A16" s="48"/>
      <c r="B16" s="48"/>
      <c r="C16" s="48" t="s">
        <v>1604</v>
      </c>
      <c r="D16" s="343">
        <v>45296</v>
      </c>
      <c r="E16" s="48">
        <v>1</v>
      </c>
      <c r="I16" s="639"/>
      <c r="J16" s="640">
        <f>J15+K15</f>
        <v>54</v>
      </c>
      <c r="K16" s="641"/>
      <c r="L16" s="640"/>
      <c r="M16" s="641"/>
      <c r="N16" s="639"/>
    </row>
    <row r="17" spans="1:14" ht="14.4" thickBot="1">
      <c r="A17" s="48"/>
      <c r="B17" s="48"/>
      <c r="C17" s="57" t="s">
        <v>1827</v>
      </c>
      <c r="D17" s="626"/>
      <c r="E17" s="57">
        <v>1</v>
      </c>
      <c r="I17" s="33"/>
      <c r="J17" s="33"/>
      <c r="K17" s="33"/>
      <c r="L17" s="33"/>
      <c r="M17" s="33"/>
      <c r="N17" s="33"/>
    </row>
    <row r="18" spans="1:14" ht="14.4">
      <c r="A18" s="624" t="s">
        <v>1826</v>
      </c>
      <c r="B18" s="624"/>
      <c r="C18" s="624"/>
      <c r="D18" s="627"/>
      <c r="E18" s="624">
        <v>19</v>
      </c>
      <c r="I18" s="642" t="s">
        <v>185</v>
      </c>
      <c r="J18" s="643"/>
      <c r="K18" s="41"/>
      <c r="L18" s="33"/>
      <c r="M18" s="33"/>
      <c r="N18" s="33"/>
    </row>
    <row r="19" spans="1:14" ht="15" thickBot="1">
      <c r="A19" s="48" t="s">
        <v>497</v>
      </c>
      <c r="B19" s="48" t="s">
        <v>16</v>
      </c>
      <c r="C19" s="48" t="s">
        <v>18</v>
      </c>
      <c r="D19" s="343">
        <v>45355</v>
      </c>
      <c r="E19" s="48">
        <v>12</v>
      </c>
      <c r="I19" s="644" t="s">
        <v>186</v>
      </c>
      <c r="J19" s="645"/>
      <c r="K19" s="34"/>
      <c r="L19" s="33"/>
      <c r="M19" s="33"/>
      <c r="N19" s="33"/>
    </row>
    <row r="20" spans="1:14" ht="15" thickBot="1">
      <c r="A20" s="48"/>
      <c r="B20" s="48"/>
      <c r="C20" s="57" t="s">
        <v>1170</v>
      </c>
      <c r="D20" s="626"/>
      <c r="E20" s="57">
        <v>12</v>
      </c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55</v>
      </c>
      <c r="D21" s="343">
        <v>45345</v>
      </c>
      <c r="E21" s="48">
        <v>1</v>
      </c>
    </row>
    <row r="22" spans="1:14">
      <c r="A22" s="48"/>
      <c r="B22" s="48"/>
      <c r="C22" s="48"/>
      <c r="D22" s="343">
        <v>45348</v>
      </c>
      <c r="E22" s="48">
        <v>2</v>
      </c>
    </row>
    <row r="23" spans="1:14" ht="14.4" thickBot="1">
      <c r="A23" s="48"/>
      <c r="B23" s="48"/>
      <c r="C23" s="48"/>
      <c r="D23" s="343">
        <v>45352</v>
      </c>
      <c r="E23" s="48">
        <v>4</v>
      </c>
    </row>
    <row r="24" spans="1:14" ht="15" thickBot="1">
      <c r="A24" s="48"/>
      <c r="B24" s="48"/>
      <c r="C24" s="57" t="s">
        <v>1178</v>
      </c>
      <c r="D24" s="626"/>
      <c r="E24" s="57">
        <v>7</v>
      </c>
      <c r="I24" s="633" t="s">
        <v>187</v>
      </c>
      <c r="J24" s="635" t="s">
        <v>178</v>
      </c>
      <c r="K24" s="636"/>
      <c r="L24" s="637" t="s">
        <v>179</v>
      </c>
      <c r="M24" s="636"/>
      <c r="N24" s="33"/>
    </row>
    <row r="25" spans="1:14" ht="15" thickBot="1">
      <c r="A25" s="48"/>
      <c r="B25" s="48" t="s">
        <v>1472</v>
      </c>
      <c r="C25" s="48" t="s">
        <v>137</v>
      </c>
      <c r="D25" s="343">
        <v>45348</v>
      </c>
      <c r="E25" s="48">
        <v>1</v>
      </c>
      <c r="I25" s="634"/>
      <c r="J25" s="34" t="s">
        <v>180</v>
      </c>
      <c r="K25" s="34" t="s">
        <v>181</v>
      </c>
      <c r="L25" s="34" t="s">
        <v>180</v>
      </c>
      <c r="M25" s="34" t="s">
        <v>181</v>
      </c>
      <c r="N25" s="33"/>
    </row>
    <row r="26" spans="1:14" ht="15" thickBot="1">
      <c r="A26" s="48"/>
      <c r="B26" s="48"/>
      <c r="C26" s="48"/>
      <c r="D26" s="343">
        <v>45350</v>
      </c>
      <c r="E26" s="48">
        <v>2</v>
      </c>
      <c r="I26" s="35" t="s">
        <v>182</v>
      </c>
      <c r="J26" s="34">
        <v>29</v>
      </c>
      <c r="K26" s="34">
        <v>14</v>
      </c>
      <c r="L26" s="34"/>
      <c r="M26" s="34"/>
      <c r="N26" s="36"/>
    </row>
    <row r="27" spans="1:14" ht="15" thickBot="1">
      <c r="A27" s="48"/>
      <c r="B27" s="48"/>
      <c r="C27" s="57" t="s">
        <v>1829</v>
      </c>
      <c r="D27" s="626"/>
      <c r="E27" s="57">
        <v>3</v>
      </c>
      <c r="I27" s="35" t="s">
        <v>183</v>
      </c>
      <c r="J27" s="34">
        <v>3</v>
      </c>
      <c r="K27" s="34">
        <v>0</v>
      </c>
      <c r="L27" s="34"/>
      <c r="M27" s="34"/>
      <c r="N27" s="37"/>
    </row>
    <row r="28" spans="1:14" ht="15" thickBot="1">
      <c r="A28" s="624" t="s">
        <v>1828</v>
      </c>
      <c r="B28" s="624"/>
      <c r="C28" s="624"/>
      <c r="D28" s="627"/>
      <c r="E28" s="624">
        <v>22</v>
      </c>
      <c r="I28" s="38" t="s">
        <v>21</v>
      </c>
      <c r="J28" s="39">
        <v>0</v>
      </c>
      <c r="K28" s="39">
        <v>0</v>
      </c>
      <c r="L28" s="39"/>
      <c r="M28" s="39"/>
      <c r="N28" s="37"/>
    </row>
    <row r="29" spans="1:14" ht="15" thickBot="1">
      <c r="A29" s="48" t="s">
        <v>1703</v>
      </c>
      <c r="B29" s="48" t="s">
        <v>16</v>
      </c>
      <c r="C29" s="48" t="s">
        <v>18</v>
      </c>
      <c r="D29" s="343" t="s">
        <v>1770</v>
      </c>
      <c r="E29" s="48">
        <v>4</v>
      </c>
      <c r="I29" s="638" t="s">
        <v>184</v>
      </c>
      <c r="J29" s="40">
        <f>SUM(J26:J28)</f>
        <v>32</v>
      </c>
      <c r="K29" s="40">
        <f>SUM(K26:K28)</f>
        <v>14</v>
      </c>
      <c r="L29" s="40"/>
      <c r="M29" s="40"/>
      <c r="N29" s="638"/>
    </row>
    <row r="30" spans="1:14" ht="15" thickBot="1">
      <c r="A30" s="48"/>
      <c r="B30" s="48"/>
      <c r="C30" s="48"/>
      <c r="D30" s="343" t="s">
        <v>1877</v>
      </c>
      <c r="E30" s="48">
        <v>10</v>
      </c>
      <c r="I30" s="639"/>
      <c r="J30" s="640">
        <f>J29+K29</f>
        <v>46</v>
      </c>
      <c r="K30" s="641"/>
      <c r="L30" s="640"/>
      <c r="M30" s="641"/>
      <c r="N30" s="639"/>
    </row>
    <row r="31" spans="1:14" ht="14.4" thickBot="1">
      <c r="A31" s="48"/>
      <c r="B31" s="48"/>
      <c r="C31" s="57" t="s">
        <v>1170</v>
      </c>
      <c r="D31" s="626"/>
      <c r="E31" s="57">
        <v>14</v>
      </c>
      <c r="I31" s="33"/>
      <c r="J31" s="33"/>
      <c r="K31" s="33"/>
      <c r="L31" s="33"/>
      <c r="M31" s="33"/>
      <c r="N31" s="33"/>
    </row>
    <row r="32" spans="1:14" ht="14.4">
      <c r="A32" s="48"/>
      <c r="B32" s="48"/>
      <c r="C32" s="48" t="s">
        <v>113</v>
      </c>
      <c r="D32" s="343" t="s">
        <v>233</v>
      </c>
      <c r="E32" s="48">
        <v>2</v>
      </c>
      <c r="I32" s="642" t="s">
        <v>185</v>
      </c>
      <c r="J32" s="643"/>
      <c r="K32" s="41"/>
      <c r="L32" s="33"/>
      <c r="M32" s="33"/>
      <c r="N32" s="33"/>
    </row>
    <row r="33" spans="1:14" ht="15" thickBot="1">
      <c r="A33" s="48"/>
      <c r="B33" s="48"/>
      <c r="C33" s="57" t="s">
        <v>1861</v>
      </c>
      <c r="D33" s="626"/>
      <c r="E33" s="57">
        <v>2</v>
      </c>
      <c r="I33" s="644" t="s">
        <v>186</v>
      </c>
      <c r="J33" s="645"/>
      <c r="K33" s="34"/>
      <c r="L33" s="33"/>
      <c r="M33" s="33"/>
      <c r="N33" s="33"/>
    </row>
    <row r="34" spans="1:14" ht="15" thickBot="1">
      <c r="A34" s="48"/>
      <c r="B34" s="48"/>
      <c r="C34" s="48" t="s">
        <v>55</v>
      </c>
      <c r="D34" s="343" t="s">
        <v>1877</v>
      </c>
      <c r="E34" s="48">
        <v>10</v>
      </c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1178</v>
      </c>
      <c r="D35" s="626"/>
      <c r="E35" s="57">
        <v>10</v>
      </c>
    </row>
    <row r="36" spans="1:14">
      <c r="A36" s="48"/>
      <c r="B36" s="48" t="s">
        <v>1472</v>
      </c>
      <c r="C36" s="48" t="s">
        <v>137</v>
      </c>
      <c r="D36" s="343" t="s">
        <v>1770</v>
      </c>
      <c r="E36" s="48">
        <v>1</v>
      </c>
    </row>
    <row r="37" spans="1:14">
      <c r="A37" s="48"/>
      <c r="B37" s="48"/>
      <c r="C37" s="57" t="s">
        <v>1829</v>
      </c>
      <c r="D37" s="626"/>
      <c r="E37" s="57">
        <v>1</v>
      </c>
    </row>
    <row r="38" spans="1:14" ht="14.4">
      <c r="A38" s="624" t="s">
        <v>1830</v>
      </c>
      <c r="B38" s="624"/>
      <c r="C38" s="624"/>
      <c r="D38" s="627"/>
      <c r="E38" s="624">
        <v>27</v>
      </c>
      <c r="F38"/>
      <c r="G38"/>
    </row>
    <row r="39" spans="1:14" ht="14.4">
      <c r="A39" s="48" t="s">
        <v>148</v>
      </c>
      <c r="B39" s="48"/>
      <c r="C39" s="48"/>
      <c r="D39" s="343"/>
      <c r="E39" s="48">
        <v>68</v>
      </c>
      <c r="F39"/>
      <c r="G39"/>
      <c r="H39"/>
      <c r="I39"/>
      <c r="J39"/>
    </row>
    <row r="40" spans="1:14" ht="14.4">
      <c r="A40"/>
      <c r="B40"/>
      <c r="C40"/>
      <c r="D40" s="256"/>
      <c r="E40"/>
      <c r="F40"/>
      <c r="G40"/>
      <c r="H40"/>
      <c r="I40"/>
      <c r="J40"/>
    </row>
    <row r="41" spans="1:14" ht="14.4">
      <c r="A41"/>
      <c r="B41"/>
      <c r="C41"/>
      <c r="D41" s="256"/>
      <c r="E41"/>
      <c r="F41"/>
      <c r="G41"/>
      <c r="H41"/>
      <c r="I41"/>
      <c r="J41"/>
    </row>
    <row r="42" spans="1:14" ht="14.4">
      <c r="A42"/>
      <c r="B42" s="256"/>
      <c r="C42"/>
      <c r="D42" s="382"/>
      <c r="E42"/>
      <c r="F42"/>
      <c r="G42"/>
      <c r="H42"/>
      <c r="I42"/>
      <c r="J42"/>
    </row>
    <row r="43" spans="1:14" ht="14.4">
      <c r="A43"/>
      <c r="B43" s="256"/>
      <c r="C43"/>
      <c r="D43" s="382"/>
      <c r="E43"/>
      <c r="F43"/>
      <c r="G43"/>
      <c r="H43"/>
      <c r="I43"/>
      <c r="J43"/>
    </row>
    <row r="44" spans="1:14" ht="14.4">
      <c r="A44"/>
      <c r="B44" s="256"/>
      <c r="C44"/>
      <c r="D44" s="382"/>
      <c r="E44"/>
      <c r="F44"/>
      <c r="G44"/>
      <c r="H44"/>
      <c r="I44"/>
      <c r="J44"/>
    </row>
    <row r="45" spans="1:14" ht="14.4">
      <c r="F45"/>
      <c r="G45"/>
      <c r="H45"/>
    </row>
    <row r="46" spans="1:14" ht="14.4">
      <c r="A46"/>
      <c r="B46" s="256"/>
      <c r="C46"/>
      <c r="D46" s="382"/>
      <c r="E46"/>
      <c r="F46"/>
      <c r="G46"/>
      <c r="H46"/>
    </row>
    <row r="47" spans="1:14" ht="14.4">
      <c r="A47"/>
      <c r="B47" s="256"/>
      <c r="C47"/>
      <c r="D47" s="382"/>
      <c r="E47"/>
      <c r="F47"/>
      <c r="G47"/>
      <c r="H47"/>
    </row>
    <row r="48" spans="1:14" ht="14.4">
      <c r="A48"/>
      <c r="B48" s="256"/>
      <c r="C48"/>
      <c r="D48" s="382"/>
      <c r="E48"/>
      <c r="F48"/>
      <c r="G48"/>
      <c r="H48"/>
    </row>
    <row r="49" spans="1:8" ht="14.4">
      <c r="A49"/>
      <c r="B49" s="256"/>
      <c r="C49"/>
      <c r="D49" s="382"/>
      <c r="E49"/>
      <c r="F49"/>
      <c r="G49"/>
      <c r="H49"/>
    </row>
    <row r="50" spans="1:8" ht="14.4">
      <c r="A50"/>
      <c r="B50" s="256"/>
      <c r="C50"/>
      <c r="D50" s="382"/>
      <c r="E50"/>
      <c r="F50"/>
      <c r="G50"/>
      <c r="H50"/>
    </row>
    <row r="51" spans="1:8" ht="14.4">
      <c r="A51"/>
      <c r="B51" s="256"/>
      <c r="C51"/>
      <c r="D51" s="382"/>
      <c r="E51"/>
      <c r="F51"/>
      <c r="G51"/>
      <c r="H51"/>
    </row>
    <row r="52" spans="1:8" ht="14.4">
      <c r="A52"/>
      <c r="B52" s="256"/>
      <c r="C52"/>
      <c r="D52" s="382"/>
      <c r="E52"/>
      <c r="F52"/>
      <c r="G52"/>
      <c r="H52"/>
    </row>
    <row r="53" spans="1:8" ht="14.4">
      <c r="A53"/>
      <c r="B53" s="256"/>
      <c r="C53"/>
      <c r="D53" s="382"/>
      <c r="E53"/>
      <c r="F53"/>
      <c r="G53"/>
      <c r="H53"/>
    </row>
    <row r="54" spans="1:8" ht="14.4">
      <c r="A54"/>
      <c r="B54" s="256"/>
      <c r="C54"/>
      <c r="D54" s="382"/>
      <c r="E54"/>
      <c r="F54"/>
      <c r="G54"/>
      <c r="H54"/>
    </row>
    <row r="55" spans="1:8" ht="14.4">
      <c r="A55"/>
      <c r="B55" s="256"/>
      <c r="C55"/>
      <c r="D55" s="382"/>
      <c r="E55"/>
      <c r="F55"/>
      <c r="G55"/>
      <c r="H55"/>
    </row>
    <row r="56" spans="1:8" ht="14.4">
      <c r="A56"/>
      <c r="B56" s="256"/>
      <c r="C56"/>
      <c r="D56" s="382"/>
      <c r="E56"/>
      <c r="F56"/>
      <c r="G56"/>
      <c r="H56"/>
    </row>
    <row r="57" spans="1:8" ht="14.4">
      <c r="A57"/>
      <c r="B57" s="256"/>
      <c r="C57"/>
      <c r="D57" s="382"/>
      <c r="E57"/>
      <c r="F57"/>
      <c r="G57"/>
      <c r="H57"/>
    </row>
    <row r="58" spans="1:8" ht="14.4">
      <c r="A58"/>
      <c r="B58" s="256"/>
      <c r="C58"/>
      <c r="D58" s="382"/>
      <c r="E58"/>
      <c r="F58"/>
      <c r="G58"/>
      <c r="H58"/>
    </row>
    <row r="59" spans="1:8" ht="14.4">
      <c r="A59"/>
      <c r="B59" s="256"/>
      <c r="C59"/>
      <c r="D59" s="382"/>
      <c r="E59"/>
      <c r="F59"/>
      <c r="G59"/>
      <c r="H59"/>
    </row>
    <row r="60" spans="1:8" ht="14.4">
      <c r="A60"/>
      <c r="B60" s="256"/>
      <c r="C60"/>
      <c r="D60" s="382"/>
      <c r="E60"/>
      <c r="F60"/>
      <c r="G60"/>
      <c r="H60"/>
    </row>
  </sheetData>
  <mergeCells count="20">
    <mergeCell ref="N29:N30"/>
    <mergeCell ref="J30:K30"/>
    <mergeCell ref="L30:M30"/>
    <mergeCell ref="I32:J32"/>
    <mergeCell ref="I33:J33"/>
    <mergeCell ref="I19:J19"/>
    <mergeCell ref="I24:I25"/>
    <mergeCell ref="J24:K24"/>
    <mergeCell ref="L24:M24"/>
    <mergeCell ref="I29:I30"/>
    <mergeCell ref="I15:I16"/>
    <mergeCell ref="N15:N16"/>
    <mergeCell ref="J16:K16"/>
    <mergeCell ref="L16:M16"/>
    <mergeCell ref="I18:J18"/>
    <mergeCell ref="J6:K6"/>
    <mergeCell ref="L6:M6"/>
    <mergeCell ref="I10:I11"/>
    <mergeCell ref="J10:K10"/>
    <mergeCell ref="L10:M10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S1275"/>
  <sheetViews>
    <sheetView tabSelected="1" zoomScale="134" zoomScaleNormal="134" workbookViewId="0">
      <pane xSplit="7" ySplit="1" topLeftCell="M2" activePane="bottomRight" state="frozen"/>
      <selection pane="topRight" activeCell="H1" sqref="H1"/>
      <selection pane="bottomLeft" activeCell="A2" sqref="A2"/>
      <selection pane="bottomRight" activeCell="R2" sqref="R2"/>
    </sheetView>
  </sheetViews>
  <sheetFormatPr defaultColWidth="9" defaultRowHeight="13.2"/>
  <cols>
    <col min="1" max="1" width="5" style="565" customWidth="1"/>
    <col min="2" max="2" width="11.77734375" style="572" customWidth="1"/>
    <col min="3" max="3" width="4.21875" style="572" customWidth="1"/>
    <col min="4" max="4" width="17.44140625" style="568" customWidth="1"/>
    <col min="5" max="5" width="6.44140625" style="572" customWidth="1"/>
    <col min="6" max="6" width="11.21875" style="572" customWidth="1"/>
    <col min="7" max="7" width="5.21875" style="572" customWidth="1"/>
    <col min="8" max="8" width="8.44140625" style="572" customWidth="1"/>
    <col min="9" max="9" width="12.21875" style="568" customWidth="1"/>
    <col min="10" max="10" width="3.44140625" style="568" customWidth="1"/>
    <col min="11" max="11" width="17.77734375" style="572" customWidth="1"/>
    <col min="12" max="12" width="18.21875" style="609" customWidth="1"/>
    <col min="13" max="13" width="12.77734375" style="610" customWidth="1"/>
    <col min="14" max="14" width="7.21875" style="566" customWidth="1"/>
    <col min="15" max="15" width="11" style="567" customWidth="1"/>
    <col min="16" max="16" width="5" style="610" hidden="1" customWidth="1"/>
    <col min="17" max="17" width="24.5546875" style="572" hidden="1" customWidth="1"/>
    <col min="18" max="18" width="19" style="572" customWidth="1"/>
    <col min="19" max="19" width="11.77734375" style="572" customWidth="1"/>
    <col min="20" max="20" width="8.21875" style="572" hidden="1" customWidth="1"/>
    <col min="21" max="21" width="29.77734375" style="572" hidden="1" customWidth="1"/>
    <col min="22" max="22" width="11.21875" style="583" hidden="1" customWidth="1"/>
    <col min="23" max="23" width="10.21875" style="611" hidden="1" customWidth="1"/>
    <col min="24" max="24" width="10.21875" style="609" customWidth="1"/>
    <col min="25" max="25" width="10" style="572" bestFit="1" customWidth="1"/>
    <col min="26" max="26" width="16.44140625" style="573" hidden="1" customWidth="1"/>
    <col min="27" max="27" width="12" style="574" hidden="1" customWidth="1"/>
    <col min="28" max="28" width="26.77734375" style="575" hidden="1" customWidth="1"/>
    <col min="29" max="29" width="22.21875" style="572" bestFit="1" customWidth="1"/>
    <col min="30" max="34" width="9" style="568"/>
    <col min="35" max="35" width="9" style="569"/>
    <col min="36" max="39" width="9" style="568"/>
    <col min="40" max="40" width="9" style="571"/>
    <col min="41" max="41" width="9" style="612" customWidth="1"/>
    <col min="42" max="42" width="14.44140625" style="260" customWidth="1"/>
    <col min="43" max="43" width="21.77734375" style="260" customWidth="1"/>
    <col min="44" max="44" width="36.77734375" style="260" bestFit="1" customWidth="1"/>
    <col min="45" max="45" width="16.21875" style="260" bestFit="1" customWidth="1"/>
    <col min="46" max="16384" width="9" style="260"/>
  </cols>
  <sheetData>
    <row r="1" spans="1:45" s="258" customFormat="1" ht="33.75" customHeight="1">
      <c r="A1" s="549" t="s">
        <v>190</v>
      </c>
      <c r="B1" s="551" t="s">
        <v>1885</v>
      </c>
      <c r="C1" s="551" t="s">
        <v>191</v>
      </c>
      <c r="D1" s="551" t="s">
        <v>192</v>
      </c>
      <c r="E1" s="551" t="s">
        <v>193</v>
      </c>
      <c r="F1" s="550" t="s">
        <v>166</v>
      </c>
      <c r="G1" s="550" t="s">
        <v>4</v>
      </c>
      <c r="H1" s="550" t="s">
        <v>5</v>
      </c>
      <c r="I1" s="552" t="s">
        <v>194</v>
      </c>
      <c r="J1" s="552" t="s">
        <v>1884</v>
      </c>
      <c r="K1" s="550" t="s">
        <v>196</v>
      </c>
      <c r="L1" s="553" t="s">
        <v>197</v>
      </c>
      <c r="M1" s="554" t="s">
        <v>198</v>
      </c>
      <c r="N1" s="555" t="s">
        <v>199</v>
      </c>
      <c r="O1" s="556" t="s">
        <v>200</v>
      </c>
      <c r="P1" s="557" t="s">
        <v>201</v>
      </c>
      <c r="Q1" s="557" t="s">
        <v>202</v>
      </c>
      <c r="R1" s="557" t="s">
        <v>1890</v>
      </c>
      <c r="S1" s="557" t="s">
        <v>166</v>
      </c>
      <c r="T1" s="557" t="s">
        <v>203</v>
      </c>
      <c r="U1" s="557" t="s">
        <v>204</v>
      </c>
      <c r="V1" s="558" t="s">
        <v>12</v>
      </c>
      <c r="W1" s="558" t="s">
        <v>205</v>
      </c>
      <c r="X1" s="559" t="s">
        <v>206</v>
      </c>
      <c r="Y1" s="557" t="s">
        <v>207</v>
      </c>
      <c r="Z1" s="560" t="s">
        <v>13</v>
      </c>
      <c r="AA1" s="560" t="s">
        <v>14</v>
      </c>
      <c r="AB1" s="558" t="s">
        <v>208</v>
      </c>
      <c r="AC1" s="558" t="s">
        <v>209</v>
      </c>
      <c r="AD1" s="561" t="s">
        <v>210</v>
      </c>
      <c r="AE1" s="562" t="s">
        <v>195</v>
      </c>
      <c r="AF1" s="561" t="s">
        <v>210</v>
      </c>
      <c r="AG1" s="562" t="s">
        <v>195</v>
      </c>
      <c r="AH1" s="561" t="s">
        <v>210</v>
      </c>
      <c r="AI1" s="563" t="s">
        <v>195</v>
      </c>
      <c r="AJ1" s="561" t="s">
        <v>210</v>
      </c>
      <c r="AK1" s="562" t="s">
        <v>195</v>
      </c>
      <c r="AL1" s="561" t="s">
        <v>210</v>
      </c>
      <c r="AM1" s="562" t="s">
        <v>195</v>
      </c>
      <c r="AN1" s="564" t="s">
        <v>211</v>
      </c>
      <c r="AO1" s="613" t="s">
        <v>1817</v>
      </c>
      <c r="AP1" s="547" t="s">
        <v>1888</v>
      </c>
      <c r="AQ1" s="613" t="s">
        <v>1886</v>
      </c>
      <c r="AR1" s="258" t="s">
        <v>1887</v>
      </c>
      <c r="AS1" s="628" t="s">
        <v>1889</v>
      </c>
    </row>
    <row r="2" spans="1:45">
      <c r="A2" s="565">
        <v>2090</v>
      </c>
      <c r="B2" s="588" t="s">
        <v>72</v>
      </c>
      <c r="C2" s="588" t="s">
        <v>212</v>
      </c>
      <c r="D2" s="589">
        <v>111342</v>
      </c>
      <c r="E2" s="590" t="s">
        <v>167</v>
      </c>
      <c r="F2" s="584" t="s">
        <v>55</v>
      </c>
      <c r="G2" s="584" t="s">
        <v>25</v>
      </c>
      <c r="H2" s="584" t="s">
        <v>27</v>
      </c>
      <c r="I2" s="580" t="s">
        <v>1530</v>
      </c>
      <c r="J2" s="580">
        <v>1</v>
      </c>
      <c r="K2" s="584" t="s">
        <v>230</v>
      </c>
      <c r="L2" s="591">
        <v>45175</v>
      </c>
      <c r="M2" s="585">
        <v>5.0500000000000003E-2</v>
      </c>
      <c r="N2" s="576" t="s">
        <v>1746</v>
      </c>
      <c r="O2" s="570">
        <v>2023.8</v>
      </c>
      <c r="P2" s="585" t="str">
        <f>VLOOKUP(A2,'[1]Raw data'!$B:$BA,23,FALSE)</f>
        <v>JPY</v>
      </c>
      <c r="Q2" s="584" t="str">
        <f>VLOOKUP(A2,'[1]Raw data'!$B:$Z,2,FALSE)</f>
        <v>C49SZX20240021EC</v>
      </c>
      <c r="R2" s="584" t="str">
        <f>VLOOKUP(A2,'[1]Raw data'!$B:$Z,3,FALSE)</f>
        <v>格美通</v>
      </c>
      <c r="S2" s="584" t="str">
        <f>VLOOKUP(A2,'[1]Raw data'!$B:$Z,4,FALSE)</f>
        <v>YSM20R-2</v>
      </c>
      <c r="T2" s="584" t="str">
        <f>VLOOKUP(A2,'[1]Raw data'!$B:$Z,8,FALSE)</f>
        <v>L-&gt;R</v>
      </c>
      <c r="U2" s="584" t="str">
        <f>VLOOKUP(A2,'[1]Raw data'!$B:$Z,9,FALSE)</f>
        <v>No</v>
      </c>
      <c r="V2" s="583" t="str">
        <f t="shared" ref="V2" si="0">IF(G2&amp;H2=T2&amp;U2,"OK","WRONG")</f>
        <v>OK</v>
      </c>
      <c r="W2" s="592" t="str">
        <f>VLOOKUP(A2,'[1]Raw data'!$B:$AG,32,FALSE)</f>
        <v>DAP SZ</v>
      </c>
      <c r="X2" s="591">
        <f>VLOOKUP(A2,'[1]Raw data'!$B:$BA,31,FALSE)</f>
        <v>45320</v>
      </c>
      <c r="Y2" s="584" t="str">
        <f>VLOOKUP(A2,'[1]Raw data'!$B:$AS,39,FALSE)</f>
        <v>Yes</v>
      </c>
      <c r="Z2" s="577"/>
      <c r="AA2" s="578"/>
      <c r="AB2" s="579"/>
      <c r="AC2" s="584"/>
      <c r="AD2" s="580">
        <v>302</v>
      </c>
      <c r="AE2" s="580">
        <v>10</v>
      </c>
      <c r="AF2" s="580">
        <v>302</v>
      </c>
      <c r="AG2" s="580">
        <v>10</v>
      </c>
      <c r="AH2" s="580"/>
      <c r="AI2" s="581"/>
      <c r="AN2" s="548"/>
      <c r="AO2" s="612" t="str">
        <f>IFERROR(IF(Y2&lt;&gt;"",Y2,"blank"),"No")</f>
        <v>Yes</v>
      </c>
      <c r="AP2" s="260" t="str">
        <f t="shared" ref="AP2:AP17" si="1">IFERROR(IF(N2&lt;&gt;"",N2,"blank"),"NA")</f>
        <v>FEB 24</v>
      </c>
      <c r="AQ2" s="548" t="str">
        <f>IFERROR(IF(AND(AO2="Yes", AP2&lt;&gt;"blank"), "有定金+客戶送貨期", IF(AND(AO2="Yes", AP2="blank"), "有定金+无客戶送貨期", IF(AND(OR(AO2="No", ISBLANK(AO2), AO2="NA"), AP2&lt;&gt;"blank"), "无定金+有客戶送貨期", IF(AND(OR(AO2="No", ISBLANK(AO2), AO2="NA"), AP2="blank"), "无定金+无客戶送貨期", "")))), "")</f>
        <v>有定金+客戶送貨期</v>
      </c>
      <c r="AR2" s="260" t="str">
        <f>IFERROR(IF(B2="已经到货", "Instock", IF(B2="有交期", "Incoming_Stock_With_YAMAHA_Schedule", IF(B2="TBA.", "Incoming_Stock_No_YAMAHA_Schedule", IF(B2="已发货", "Shipped_Stock", "")))), "")</f>
        <v>Instock</v>
      </c>
      <c r="AS2" s="260" t="str">
        <f>IF(AND(B2="有交期", L2&lt;&gt;""), L2, "")</f>
        <v/>
      </c>
    </row>
    <row r="3" spans="1:45" ht="30.6">
      <c r="A3" s="565">
        <v>2089</v>
      </c>
      <c r="B3" s="588" t="s">
        <v>72</v>
      </c>
      <c r="C3" s="588" t="s">
        <v>212</v>
      </c>
      <c r="D3" s="589">
        <v>111341</v>
      </c>
      <c r="E3" s="590" t="s">
        <v>167</v>
      </c>
      <c r="F3" s="584" t="s">
        <v>18</v>
      </c>
      <c r="G3" s="584" t="s">
        <v>19</v>
      </c>
      <c r="H3" s="584" t="s">
        <v>27</v>
      </c>
      <c r="I3" s="580" t="s">
        <v>1529</v>
      </c>
      <c r="J3" s="580">
        <v>1</v>
      </c>
      <c r="K3" s="584" t="s">
        <v>228</v>
      </c>
      <c r="L3" s="591">
        <v>45175</v>
      </c>
      <c r="M3" s="614" t="s">
        <v>1834</v>
      </c>
      <c r="N3" s="576" t="s">
        <v>1746</v>
      </c>
      <c r="O3" s="570">
        <v>2023.7</v>
      </c>
      <c r="P3" s="585" t="str">
        <f>VLOOKUP(A3,'[1]Raw data'!$B:$BA,23,FALSE)</f>
        <v>RMB</v>
      </c>
      <c r="Q3" s="584" t="str">
        <f>VLOOKUP(A3,'[1]Raw data'!$B:$Z,2,FALSE)</f>
        <v>C49SZX20240022SS/ZC20240119106</v>
      </c>
      <c r="R3" s="584" t="str">
        <f>VLOOKUP(A3,'[1]Raw data'!$B:$Z,3,FALSE)</f>
        <v>创舰</v>
      </c>
      <c r="S3" s="584" t="str">
        <f>VLOOKUP(A3,'[1]Raw data'!$B:$Z,4,FALSE)</f>
        <v>YSM10</v>
      </c>
      <c r="T3" s="584" t="str">
        <f>VLOOKUP(A3,'[1]Raw data'!$B:$Z,8,FALSE)</f>
        <v>L-&gt;R</v>
      </c>
      <c r="U3" s="584" t="str">
        <f>VLOOKUP(A3,'[1]Raw data'!$B:$Z,9,FALSE)</f>
        <v>MVC</v>
      </c>
      <c r="V3" s="583" t="str">
        <f t="shared" ref="V3" si="2">IF(G3&amp;H3=T3&amp;U3,"OK","WRONG")</f>
        <v>WRONG</v>
      </c>
      <c r="W3" s="592" t="str">
        <f>VLOOKUP(A3,'[1]Raw data'!$B:$AG,32,FALSE)</f>
        <v>DDP HZ</v>
      </c>
      <c r="X3" s="591">
        <f>VLOOKUP(A3,'[1]Raw data'!$B:$BA,31,FALSE)</f>
        <v>45321</v>
      </c>
      <c r="Y3" s="584" t="str">
        <f>VLOOKUP(A3,'[1]Raw data'!$B:$AS,39,FALSE)</f>
        <v>Yes</v>
      </c>
      <c r="Z3" s="577"/>
      <c r="AA3" s="578"/>
      <c r="AB3" s="579"/>
      <c r="AC3" s="584"/>
      <c r="AD3" s="580">
        <v>301</v>
      </c>
      <c r="AE3" s="580">
        <v>10</v>
      </c>
      <c r="AF3" s="580"/>
      <c r="AG3" s="580"/>
      <c r="AH3" s="580"/>
      <c r="AI3" s="581"/>
      <c r="AN3" s="548"/>
      <c r="AO3" s="612" t="str">
        <f t="shared" ref="AO3:AO20" si="3">IFERROR(IF(Y3&lt;&gt;"",Y3,"blank"),"No")</f>
        <v>Yes</v>
      </c>
      <c r="AP3" s="260" t="str">
        <f t="shared" si="1"/>
        <v>FEB 24</v>
      </c>
      <c r="AQ3" s="548" t="str">
        <f t="shared" ref="AQ3:AQ66" si="4">IFERROR(IF(AND(AO3="Yes", AP3&lt;&gt;"blank"), "有定金+客戶送貨期", IF(AND(AO3="Yes", AP3="blank"), "有定金+无客戶送貨期", IF(AND(OR(AO3="No", ISBLANK(AO3), AO3="NA"), AP3&lt;&gt;"blank"), "无定金+有客戶送貨期", IF(AND(OR(AO3="No", ISBLANK(AO3), AO3="NA"), AP3="blank"), "无定金+无客戶送貨期", "")))), "")</f>
        <v>有定金+客戶送貨期</v>
      </c>
      <c r="AR3" s="260" t="str">
        <f t="shared" ref="AR3:AR20" si="5">IFERROR(IF(B3="已经到货", "Instock", IF(B3="有交期", "Incoming_Stock_With_YAMAHA_Schedule", IF(B3="TBA.", "Incoming_Stock_No_YAMAHA_Schedule", IF(B3="已发货", "Shipped_Stock", "")))), "")</f>
        <v>Instock</v>
      </c>
      <c r="AS3" s="260" t="str">
        <f t="shared" ref="AS3:AS66" si="6">IF(AND(B3="有交期", L3&lt;&gt;""), L3, "")</f>
        <v/>
      </c>
    </row>
    <row r="4" spans="1:45" ht="20.399999999999999">
      <c r="A4" s="565">
        <v>2091</v>
      </c>
      <c r="B4" s="588" t="s">
        <v>72</v>
      </c>
      <c r="C4" s="588" t="s">
        <v>212</v>
      </c>
      <c r="D4" s="589">
        <v>111361</v>
      </c>
      <c r="E4" s="590" t="s">
        <v>167</v>
      </c>
      <c r="F4" s="584" t="s">
        <v>18</v>
      </c>
      <c r="G4" s="584" t="s">
        <v>19</v>
      </c>
      <c r="H4" s="584" t="s">
        <v>27</v>
      </c>
      <c r="I4" s="580" t="s">
        <v>1546</v>
      </c>
      <c r="J4" s="580">
        <v>1</v>
      </c>
      <c r="K4" s="584" t="s">
        <v>228</v>
      </c>
      <c r="L4" s="591">
        <v>45194</v>
      </c>
      <c r="M4" s="614" t="s">
        <v>1847</v>
      </c>
      <c r="N4" s="576" t="s">
        <v>1746</v>
      </c>
      <c r="O4" s="570">
        <v>2023.8</v>
      </c>
      <c r="P4" s="585" t="str">
        <f>VLOOKUP(A4,'[1]Raw data'!$B:$BA,23,FALSE)</f>
        <v>RMB</v>
      </c>
      <c r="Q4" s="584" t="str">
        <f>VLOOKUP(A4,'[1]Raw data'!$B:$Z,2,FALSE)</f>
        <v>C49SZX20240023SQ</v>
      </c>
      <c r="R4" s="584" t="str">
        <f>VLOOKUP(A4,'[1]Raw data'!$B:$Z,3,FALSE)</f>
        <v>益友新鑫</v>
      </c>
      <c r="S4" s="584" t="str">
        <f>VLOOKUP(A4,'[1]Raw data'!$B:$Z,4,FALSE)</f>
        <v>YSM10</v>
      </c>
      <c r="T4" s="584" t="str">
        <f>VLOOKUP(A4,'[1]Raw data'!$B:$Z,8,FALSE)</f>
        <v>R-&gt;L</v>
      </c>
      <c r="U4" s="584" t="str">
        <f>VLOOKUP(A4,'[1]Raw data'!$B:$Z,9,FALSE)</f>
        <v>MVC</v>
      </c>
      <c r="V4" s="583" t="str">
        <f t="shared" ref="V4:V5" si="7">IF(G4&amp;H4=T4&amp;U4,"OK","WRONG")</f>
        <v>WRONG</v>
      </c>
      <c r="W4" s="592" t="str">
        <f>VLOOKUP(A4,'[1]Raw data'!$B:$AG,32,FALSE)</f>
        <v>DDP DG</v>
      </c>
      <c r="X4" s="591">
        <f>VLOOKUP(A4,'[1]Raw data'!$B:$BA,31,FALSE)</f>
        <v>45321</v>
      </c>
      <c r="Y4" s="584" t="str">
        <f>VLOOKUP(A4,'[1]Raw data'!$B:$AS,39,FALSE)</f>
        <v>No</v>
      </c>
      <c r="Z4" s="577"/>
      <c r="AA4" s="578"/>
      <c r="AB4" s="579"/>
      <c r="AC4" s="584"/>
      <c r="AD4" s="580">
        <v>301</v>
      </c>
      <c r="AE4" s="580">
        <v>5</v>
      </c>
      <c r="AF4" s="580">
        <v>302</v>
      </c>
      <c r="AG4" s="580">
        <v>5</v>
      </c>
      <c r="AH4" s="580"/>
      <c r="AI4" s="581"/>
      <c r="AN4" s="548"/>
      <c r="AO4" s="612" t="str">
        <f t="shared" si="3"/>
        <v>No</v>
      </c>
      <c r="AP4" s="260" t="str">
        <f t="shared" si="1"/>
        <v>FEB 24</v>
      </c>
      <c r="AQ4" s="548" t="str">
        <f t="shared" si="4"/>
        <v>无定金+有客戶送貨期</v>
      </c>
      <c r="AR4" s="260" t="str">
        <f t="shared" si="5"/>
        <v>Instock</v>
      </c>
      <c r="AS4" s="260" t="str">
        <f t="shared" si="6"/>
        <v/>
      </c>
    </row>
    <row r="5" spans="1:45">
      <c r="A5" s="565">
        <v>2070</v>
      </c>
      <c r="B5" s="588" t="s">
        <v>72</v>
      </c>
      <c r="C5" s="588" t="s">
        <v>212</v>
      </c>
      <c r="D5" s="589">
        <v>111361</v>
      </c>
      <c r="E5" s="590" t="s">
        <v>167</v>
      </c>
      <c r="F5" s="584" t="s">
        <v>18</v>
      </c>
      <c r="G5" s="584" t="s">
        <v>19</v>
      </c>
      <c r="H5" s="584" t="s">
        <v>27</v>
      </c>
      <c r="I5" s="580" t="s">
        <v>1547</v>
      </c>
      <c r="J5" s="580">
        <v>1</v>
      </c>
      <c r="K5" s="584" t="s">
        <v>230</v>
      </c>
      <c r="L5" s="591">
        <v>45194</v>
      </c>
      <c r="M5" s="585">
        <v>0.05</v>
      </c>
      <c r="N5" s="576"/>
      <c r="O5" s="570">
        <v>2023.8</v>
      </c>
      <c r="P5" s="585" t="str">
        <f>VLOOKUP(A5,'[1]Raw data'!$B:$BA,23,FALSE)</f>
        <v>JPY</v>
      </c>
      <c r="Q5" s="584" t="str">
        <f>VLOOKUP(A5,'[1]Raw data'!$B:$Z,2,FALSE)</f>
        <v>C49SZX20230009MZ</v>
      </c>
      <c r="R5" s="584" t="str">
        <f>VLOOKUP(A5,'[1]Raw data'!$B:$Z,3,FALSE)</f>
        <v>鸿楠</v>
      </c>
      <c r="S5" s="584" t="str">
        <f>VLOOKUP(A5,'[1]Raw data'!$B:$Z,4,FALSE)</f>
        <v>YSM10</v>
      </c>
      <c r="T5" s="584" t="str">
        <f>VLOOKUP(A5,'[1]Raw data'!$B:$Z,8,FALSE)</f>
        <v>R-&gt;L</v>
      </c>
      <c r="U5" s="584" t="str">
        <f>VLOOKUP(A5,'[1]Raw data'!$B:$Z,9,FALSE)</f>
        <v>MVC</v>
      </c>
      <c r="V5" s="583" t="str">
        <f t="shared" si="7"/>
        <v>WRONG</v>
      </c>
      <c r="W5" s="592" t="str">
        <f>VLOOKUP(A5,'[1]Raw data'!$B:$AG,32,FALSE)</f>
        <v>CIF HK</v>
      </c>
      <c r="X5" s="591">
        <f>VLOOKUP(A5,'[1]Raw data'!$B:$BA,31,FALSE)</f>
        <v>45313</v>
      </c>
      <c r="Y5" s="584" t="str">
        <f>VLOOKUP(A5,'[1]Raw data'!$B:$AS,39,FALSE)</f>
        <v>Yes</v>
      </c>
      <c r="Z5" s="577"/>
      <c r="AA5" s="578"/>
      <c r="AB5" s="579"/>
      <c r="AC5" s="584"/>
      <c r="AD5" s="580">
        <v>301</v>
      </c>
      <c r="AE5" s="580">
        <v>5</v>
      </c>
      <c r="AF5" s="580">
        <v>302</v>
      </c>
      <c r="AG5" s="580">
        <v>5</v>
      </c>
      <c r="AH5" s="580"/>
      <c r="AI5" s="581"/>
      <c r="AN5" s="548"/>
      <c r="AO5" s="612" t="str">
        <f t="shared" si="3"/>
        <v>Yes</v>
      </c>
      <c r="AP5" s="260" t="str">
        <f t="shared" si="1"/>
        <v>blank</v>
      </c>
      <c r="AQ5" s="548" t="str">
        <f t="shared" si="4"/>
        <v>有定金+无客戶送貨期</v>
      </c>
      <c r="AR5" s="260" t="str">
        <f t="shared" si="5"/>
        <v>Instock</v>
      </c>
      <c r="AS5" s="260" t="str">
        <f t="shared" si="6"/>
        <v/>
      </c>
    </row>
    <row r="6" spans="1:45">
      <c r="A6" s="565">
        <v>2061</v>
      </c>
      <c r="B6" s="588" t="s">
        <v>72</v>
      </c>
      <c r="C6" s="588" t="s">
        <v>212</v>
      </c>
      <c r="D6" s="589">
        <v>111362</v>
      </c>
      <c r="E6" s="590" t="s">
        <v>167</v>
      </c>
      <c r="F6" s="584" t="s">
        <v>55</v>
      </c>
      <c r="G6" s="584" t="s">
        <v>25</v>
      </c>
      <c r="H6" s="584" t="s">
        <v>27</v>
      </c>
      <c r="I6" s="580" t="s">
        <v>1642</v>
      </c>
      <c r="J6" s="580">
        <v>1</v>
      </c>
      <c r="K6" s="584" t="s">
        <v>230</v>
      </c>
      <c r="L6" s="591">
        <v>45205</v>
      </c>
      <c r="M6" s="585">
        <v>0.05</v>
      </c>
      <c r="N6" s="576" t="s">
        <v>1746</v>
      </c>
      <c r="O6" s="570">
        <v>2023.9</v>
      </c>
      <c r="P6" s="585" t="str">
        <f>VLOOKUP(A6,'[1]Raw data'!$B:$BA,23,FALSE)</f>
        <v>JPY</v>
      </c>
      <c r="Q6" s="584" t="str">
        <f>VLOOKUP(A6,'[1]Raw data'!$B:$Z,2,FALSE)</f>
        <v>C49SZX20240001JY</v>
      </c>
      <c r="R6" s="584" t="str">
        <f>VLOOKUP(A6,'[1]Raw data'!$B:$Z,3,FALSE)</f>
        <v>豫龙辉</v>
      </c>
      <c r="S6" s="584" t="str">
        <f>VLOOKUP(A6,'[1]Raw data'!$B:$Z,4,FALSE)</f>
        <v>YSM20R-2</v>
      </c>
      <c r="T6" s="584" t="str">
        <f>VLOOKUP(A6,'[1]Raw data'!$B:$Z,8,FALSE)</f>
        <v>L-&gt;R</v>
      </c>
      <c r="U6" s="584" t="str">
        <f>VLOOKUP(A6,'[1]Raw data'!$B:$Z,9,FALSE)</f>
        <v>MVC</v>
      </c>
      <c r="V6" s="583" t="str">
        <f t="shared" ref="V6:V10" si="8">IF(G6&amp;H6=T6&amp;U6,"OK","WRONG")</f>
        <v>WRONG</v>
      </c>
      <c r="W6" s="592" t="str">
        <f>VLOOKUP(A6,'[1]Raw data'!$B:$AG,32,FALSE)</f>
        <v>DAP SZ</v>
      </c>
      <c r="X6" s="591">
        <f>VLOOKUP(A6,'[1]Raw data'!$B:$BA,31,FALSE)</f>
        <v>45303</v>
      </c>
      <c r="Y6" s="584" t="str">
        <f>VLOOKUP(A6,'[1]Raw data'!$B:$AS,39,FALSE)</f>
        <v>Yes</v>
      </c>
      <c r="Z6" s="577"/>
      <c r="AA6" s="578"/>
      <c r="AB6" s="579"/>
      <c r="AC6" s="584"/>
      <c r="AD6" s="580">
        <v>303</v>
      </c>
      <c r="AE6" s="580">
        <v>10</v>
      </c>
      <c r="AF6" s="580">
        <v>302</v>
      </c>
      <c r="AG6" s="580">
        <v>5</v>
      </c>
      <c r="AH6" s="580">
        <v>313</v>
      </c>
      <c r="AI6" s="581">
        <v>5</v>
      </c>
      <c r="AN6" s="548"/>
      <c r="AO6" s="612" t="str">
        <f t="shared" si="3"/>
        <v>Yes</v>
      </c>
      <c r="AP6" s="260" t="str">
        <f t="shared" si="1"/>
        <v>FEB 24</v>
      </c>
      <c r="AQ6" s="548" t="str">
        <f t="shared" si="4"/>
        <v>有定金+客戶送貨期</v>
      </c>
      <c r="AR6" s="260" t="str">
        <f t="shared" si="5"/>
        <v>Instock</v>
      </c>
      <c r="AS6" s="260" t="str">
        <f t="shared" si="6"/>
        <v/>
      </c>
    </row>
    <row r="7" spans="1:45">
      <c r="A7" s="565">
        <v>2064</v>
      </c>
      <c r="B7" s="588" t="s">
        <v>72</v>
      </c>
      <c r="C7" s="588" t="s">
        <v>212</v>
      </c>
      <c r="D7" s="589">
        <v>111362</v>
      </c>
      <c r="E7" s="590" t="s">
        <v>167</v>
      </c>
      <c r="F7" s="584" t="s">
        <v>55</v>
      </c>
      <c r="G7" s="584" t="s">
        <v>25</v>
      </c>
      <c r="H7" s="584" t="s">
        <v>27</v>
      </c>
      <c r="I7" s="580" t="s">
        <v>1643</v>
      </c>
      <c r="J7" s="580">
        <v>1</v>
      </c>
      <c r="K7" s="584" t="s">
        <v>230</v>
      </c>
      <c r="L7" s="591">
        <v>45205</v>
      </c>
      <c r="M7" s="585">
        <v>0.05</v>
      </c>
      <c r="N7" s="576" t="s">
        <v>1746</v>
      </c>
      <c r="O7" s="570">
        <v>2023.9</v>
      </c>
      <c r="P7" s="585" t="str">
        <f>VLOOKUP(A7,'[1]Raw data'!$B:$BA,23,FALSE)</f>
        <v>RMB</v>
      </c>
      <c r="Q7" s="584" t="str">
        <f>VLOOKUP(A7,'[1]Raw data'!$B:$Z,2,FALSE)</f>
        <v>C49SZX20240007MZ</v>
      </c>
      <c r="R7" s="584" t="str">
        <f>VLOOKUP(A7,'[1]Raw data'!$B:$Z,3,FALSE)</f>
        <v>飞霖</v>
      </c>
      <c r="S7" s="584" t="str">
        <f>VLOOKUP(A7,'[1]Raw data'!$B:$Z,4,FALSE)</f>
        <v>YSM20R-2</v>
      </c>
      <c r="T7" s="584" t="str">
        <f>VLOOKUP(A7,'[1]Raw data'!$B:$Z,8,FALSE)</f>
        <v>L-&gt;R</v>
      </c>
      <c r="U7" s="584" t="str">
        <f>VLOOKUP(A7,'[1]Raw data'!$B:$Z,9,FALSE)</f>
        <v>No</v>
      </c>
      <c r="V7" s="583" t="str">
        <f t="shared" si="8"/>
        <v>OK</v>
      </c>
      <c r="W7" s="592" t="str">
        <f>VLOOKUP(A7,'[1]Raw data'!$B:$AG,32,FALSE)</f>
        <v>DDP DG</v>
      </c>
      <c r="X7" s="591">
        <f>VLOOKUP(A7,'[1]Raw data'!$B:$BA,31,FALSE)</f>
        <v>45308</v>
      </c>
      <c r="Y7" s="584" t="str">
        <f>VLOOKUP(A7,'[1]Raw data'!$B:$AS,39,FALSE)</f>
        <v>No</v>
      </c>
      <c r="Z7" s="577"/>
      <c r="AA7" s="578"/>
      <c r="AB7" s="579"/>
      <c r="AC7" s="584"/>
      <c r="AD7" s="580">
        <v>303</v>
      </c>
      <c r="AE7" s="580">
        <v>10</v>
      </c>
      <c r="AF7" s="580">
        <v>313</v>
      </c>
      <c r="AG7" s="580">
        <v>10</v>
      </c>
      <c r="AH7" s="580"/>
      <c r="AI7" s="581"/>
      <c r="AN7" s="548"/>
      <c r="AO7" s="612" t="str">
        <f t="shared" si="3"/>
        <v>No</v>
      </c>
      <c r="AP7" s="260" t="str">
        <f t="shared" si="1"/>
        <v>FEB 24</v>
      </c>
      <c r="AQ7" s="548" t="str">
        <f t="shared" si="4"/>
        <v>无定金+有客戶送貨期</v>
      </c>
      <c r="AR7" s="260" t="str">
        <f t="shared" si="5"/>
        <v>Instock</v>
      </c>
      <c r="AS7" s="260" t="str">
        <f t="shared" si="6"/>
        <v/>
      </c>
    </row>
    <row r="8" spans="1:45">
      <c r="A8" s="565">
        <v>2005</v>
      </c>
      <c r="B8" s="588" t="s">
        <v>72</v>
      </c>
      <c r="C8" s="588" t="s">
        <v>212</v>
      </c>
      <c r="D8" s="589">
        <v>111362</v>
      </c>
      <c r="E8" s="590" t="s">
        <v>167</v>
      </c>
      <c r="F8" s="584" t="s">
        <v>55</v>
      </c>
      <c r="G8" s="584" t="s">
        <v>25</v>
      </c>
      <c r="H8" s="584" t="s">
        <v>27</v>
      </c>
      <c r="I8" s="580" t="s">
        <v>1644</v>
      </c>
      <c r="J8" s="580">
        <v>1</v>
      </c>
      <c r="K8" s="584" t="s">
        <v>230</v>
      </c>
      <c r="L8" s="591">
        <v>45205</v>
      </c>
      <c r="M8" s="585">
        <v>0.05</v>
      </c>
      <c r="N8" s="576" t="s">
        <v>1746</v>
      </c>
      <c r="O8" s="570">
        <v>2023.9</v>
      </c>
      <c r="P8" s="585" t="str">
        <f>VLOOKUP(A8,'[1]Raw data'!$B:$BA,23,FALSE)</f>
        <v>JPY</v>
      </c>
      <c r="Q8" s="584" t="str">
        <f>VLOOKUP(A8,'[1]Raw data'!$B:$Z,2,FALSE)</f>
        <v>C49SZX20230115JY</v>
      </c>
      <c r="R8" s="584" t="str">
        <f>VLOOKUP(A8,'[1]Raw data'!$B:$Z,3,FALSE)</f>
        <v>万有</v>
      </c>
      <c r="S8" s="584" t="str">
        <f>VLOOKUP(A8,'[1]Raw data'!$B:$Z,4,FALSE)</f>
        <v>YSM20R-2</v>
      </c>
      <c r="T8" s="584" t="str">
        <f>VLOOKUP(A8,'[1]Raw data'!$B:$Z,8,FALSE)</f>
        <v>L-&gt;R</v>
      </c>
      <c r="U8" s="584" t="str">
        <f>VLOOKUP(A8,'[1]Raw data'!$B:$Z,9,FALSE)</f>
        <v>No</v>
      </c>
      <c r="V8" s="583" t="str">
        <f t="shared" si="8"/>
        <v>OK</v>
      </c>
      <c r="W8" s="592" t="str">
        <f>VLOOKUP(A8,'[1]Raw data'!$B:$AG,32,FALSE)</f>
        <v>DAP DG</v>
      </c>
      <c r="X8" s="591">
        <f>VLOOKUP(A8,'[1]Raw data'!$B:$BA,31,FALSE)</f>
        <v>45239</v>
      </c>
      <c r="Y8" s="584" t="str">
        <f>VLOOKUP(A8,'[1]Raw data'!$B:$AS,39,FALSE)</f>
        <v>Yes</v>
      </c>
      <c r="Z8" s="577"/>
      <c r="AA8" s="578"/>
      <c r="AB8" s="579"/>
      <c r="AC8" s="584"/>
      <c r="AD8" s="580">
        <v>303</v>
      </c>
      <c r="AE8" s="580">
        <v>10</v>
      </c>
      <c r="AF8" s="580">
        <v>302</v>
      </c>
      <c r="AG8" s="580">
        <v>5</v>
      </c>
      <c r="AH8" s="580">
        <v>313</v>
      </c>
      <c r="AI8" s="581">
        <v>5</v>
      </c>
      <c r="AN8" s="548"/>
      <c r="AO8" s="612" t="str">
        <f t="shared" si="3"/>
        <v>Yes</v>
      </c>
      <c r="AP8" s="260" t="str">
        <f t="shared" si="1"/>
        <v>FEB 24</v>
      </c>
      <c r="AQ8" s="548" t="str">
        <f t="shared" si="4"/>
        <v>有定金+客戶送貨期</v>
      </c>
      <c r="AR8" s="260" t="str">
        <f t="shared" si="5"/>
        <v>Instock</v>
      </c>
      <c r="AS8" s="260" t="str">
        <f t="shared" si="6"/>
        <v/>
      </c>
    </row>
    <row r="9" spans="1:45">
      <c r="A9" s="565">
        <v>2093</v>
      </c>
      <c r="B9" s="588" t="s">
        <v>72</v>
      </c>
      <c r="C9" s="588" t="s">
        <v>212</v>
      </c>
      <c r="D9" s="589">
        <v>111362</v>
      </c>
      <c r="E9" s="590" t="s">
        <v>167</v>
      </c>
      <c r="F9" s="584" t="s">
        <v>55</v>
      </c>
      <c r="G9" s="584" t="s">
        <v>25</v>
      </c>
      <c r="H9" s="584" t="s">
        <v>27</v>
      </c>
      <c r="I9" s="580" t="s">
        <v>1645</v>
      </c>
      <c r="J9" s="580">
        <v>1</v>
      </c>
      <c r="K9" s="584" t="s">
        <v>230</v>
      </c>
      <c r="L9" s="591">
        <v>45205</v>
      </c>
      <c r="M9" s="585">
        <v>0.05</v>
      </c>
      <c r="N9" s="576" t="s">
        <v>1840</v>
      </c>
      <c r="O9" s="570">
        <v>2023.9</v>
      </c>
      <c r="P9" s="585" t="str">
        <f>VLOOKUP(A9,'[1]Raw data'!$B:$BA,23,FALSE)</f>
        <v>RMB</v>
      </c>
      <c r="Q9" s="584" t="str">
        <f>VLOOKUP(A9,'[1]Raw data'!$B:$Z,2,FALSE)</f>
        <v>C49SZX20240025JL</v>
      </c>
      <c r="R9" s="584" t="str">
        <f>VLOOKUP(A9,'[1]Raw data'!$B:$Z,3,FALSE)</f>
        <v>博新</v>
      </c>
      <c r="S9" s="584" t="str">
        <f>VLOOKUP(A9,'[1]Raw data'!$B:$Z,4,FALSE)</f>
        <v>YSM20R-2</v>
      </c>
      <c r="T9" s="584" t="str">
        <f>VLOOKUP(A9,'[1]Raw data'!$B:$Z,8,FALSE)</f>
        <v>L-&gt;R</v>
      </c>
      <c r="U9" s="584" t="str">
        <f>VLOOKUP(A9,'[1]Raw data'!$B:$Z,9,FALSE)</f>
        <v>No</v>
      </c>
      <c r="V9" s="583" t="str">
        <f t="shared" si="8"/>
        <v>OK</v>
      </c>
      <c r="W9" s="592" t="str">
        <f>VLOOKUP(A9,'[1]Raw data'!$B:$AG,32,FALSE)</f>
        <v>DDP SZ</v>
      </c>
      <c r="X9" s="591">
        <f>VLOOKUP(A9,'[1]Raw data'!$B:$BA,31,FALSE)</f>
        <v>45322</v>
      </c>
      <c r="Y9" s="584" t="str">
        <f>VLOOKUP(A9,'[1]Raw data'!$B:$AS,39,FALSE)</f>
        <v>No</v>
      </c>
      <c r="Z9" s="577"/>
      <c r="AA9" s="578"/>
      <c r="AB9" s="579"/>
      <c r="AC9" s="584"/>
      <c r="AD9" s="580">
        <v>303</v>
      </c>
      <c r="AE9" s="580">
        <v>10</v>
      </c>
      <c r="AF9" s="580">
        <v>302</v>
      </c>
      <c r="AG9" s="580">
        <v>5</v>
      </c>
      <c r="AH9" s="580">
        <v>313</v>
      </c>
      <c r="AI9" s="581">
        <v>5</v>
      </c>
      <c r="AN9" s="548"/>
      <c r="AO9" s="612" t="str">
        <f t="shared" si="3"/>
        <v>No</v>
      </c>
      <c r="AP9" s="260" t="str">
        <f t="shared" si="1"/>
        <v>MAR 24</v>
      </c>
      <c r="AQ9" s="548" t="str">
        <f t="shared" si="4"/>
        <v>无定金+有客戶送貨期</v>
      </c>
      <c r="AR9" s="260" t="str">
        <f t="shared" si="5"/>
        <v>Instock</v>
      </c>
      <c r="AS9" s="260" t="str">
        <f t="shared" si="6"/>
        <v/>
      </c>
    </row>
    <row r="10" spans="1:45">
      <c r="B10" s="588" t="s">
        <v>72</v>
      </c>
      <c r="C10" s="588" t="s">
        <v>212</v>
      </c>
      <c r="D10" s="589">
        <v>111362</v>
      </c>
      <c r="E10" s="590" t="s">
        <v>167</v>
      </c>
      <c r="F10" s="584" t="s">
        <v>55</v>
      </c>
      <c r="G10" s="584" t="s">
        <v>25</v>
      </c>
      <c r="H10" s="584" t="s">
        <v>27</v>
      </c>
      <c r="I10" s="580" t="s">
        <v>1646</v>
      </c>
      <c r="J10" s="580">
        <v>1</v>
      </c>
      <c r="K10" s="584" t="s">
        <v>230</v>
      </c>
      <c r="L10" s="591">
        <v>45205</v>
      </c>
      <c r="M10" s="585">
        <v>0.05</v>
      </c>
      <c r="N10" s="576"/>
      <c r="O10" s="570">
        <v>2023.9</v>
      </c>
      <c r="P10" s="585" t="e">
        <f>VLOOKUP(A10,'[1]Raw data'!$B:$BA,23,FALSE)</f>
        <v>#N/A</v>
      </c>
      <c r="Q10" s="584" t="e">
        <f>VLOOKUP(A10,'[1]Raw data'!$B:$Z,2,FALSE)</f>
        <v>#N/A</v>
      </c>
      <c r="R10" s="584" t="e">
        <f>VLOOKUP(A10,'[1]Raw data'!$B:$Z,3,FALSE)</f>
        <v>#N/A</v>
      </c>
      <c r="S10" s="584" t="e">
        <f>VLOOKUP(A10,'[1]Raw data'!$B:$Z,4,FALSE)</f>
        <v>#N/A</v>
      </c>
      <c r="T10" s="584" t="e">
        <f>VLOOKUP(A10,'[1]Raw data'!$B:$Z,8,FALSE)</f>
        <v>#N/A</v>
      </c>
      <c r="U10" s="584" t="e">
        <f>VLOOKUP(A10,'[1]Raw data'!$B:$Z,9,FALSE)</f>
        <v>#N/A</v>
      </c>
      <c r="V10" s="583" t="e">
        <f t="shared" si="8"/>
        <v>#N/A</v>
      </c>
      <c r="W10" s="592" t="e">
        <f>VLOOKUP(A10,'[1]Raw data'!$B:$AG,32,FALSE)</f>
        <v>#N/A</v>
      </c>
      <c r="X10" s="591" t="e">
        <f>VLOOKUP(A10,'[1]Raw data'!$B:$BA,31,FALSE)</f>
        <v>#N/A</v>
      </c>
      <c r="Y10" s="584" t="e">
        <f>VLOOKUP(A10,'[1]Raw data'!$B:$AS,39,FALSE)</f>
        <v>#N/A</v>
      </c>
      <c r="Z10" s="577"/>
      <c r="AA10" s="578"/>
      <c r="AB10" s="579"/>
      <c r="AC10" s="584"/>
      <c r="AD10" s="580">
        <v>303</v>
      </c>
      <c r="AE10" s="580">
        <v>10</v>
      </c>
      <c r="AF10" s="580">
        <v>302</v>
      </c>
      <c r="AG10" s="580">
        <v>5</v>
      </c>
      <c r="AH10" s="580">
        <v>313</v>
      </c>
      <c r="AI10" s="581">
        <v>5</v>
      </c>
      <c r="AN10" s="548"/>
      <c r="AO10" s="612" t="str">
        <f t="shared" si="3"/>
        <v>No</v>
      </c>
      <c r="AP10" s="260" t="str">
        <f t="shared" si="1"/>
        <v>blank</v>
      </c>
      <c r="AQ10" s="548" t="str">
        <f t="shared" si="4"/>
        <v>无定金+无客戶送貨期</v>
      </c>
      <c r="AR10" s="260" t="str">
        <f t="shared" si="5"/>
        <v>Instock</v>
      </c>
      <c r="AS10" s="260" t="str">
        <f t="shared" si="6"/>
        <v/>
      </c>
    </row>
    <row r="11" spans="1:45" ht="20.399999999999999">
      <c r="A11" s="565">
        <v>2071</v>
      </c>
      <c r="B11" s="588" t="s">
        <v>72</v>
      </c>
      <c r="C11" s="588" t="s">
        <v>212</v>
      </c>
      <c r="D11" s="589">
        <v>111421</v>
      </c>
      <c r="E11" s="590" t="s">
        <v>167</v>
      </c>
      <c r="F11" s="584" t="s">
        <v>18</v>
      </c>
      <c r="G11" s="584" t="s">
        <v>19</v>
      </c>
      <c r="H11" s="584" t="s">
        <v>27</v>
      </c>
      <c r="I11" s="580" t="s">
        <v>1735</v>
      </c>
      <c r="J11" s="580">
        <v>1</v>
      </c>
      <c r="K11" s="584" t="s">
        <v>230</v>
      </c>
      <c r="L11" s="591">
        <v>45261</v>
      </c>
      <c r="M11" s="585" t="s">
        <v>1784</v>
      </c>
      <c r="N11" s="576"/>
      <c r="O11" s="570">
        <v>2023.11</v>
      </c>
      <c r="P11" s="585" t="str">
        <f>VLOOKUP(A11,'[1]Raw data'!$B:$BA,23,FALSE)</f>
        <v>JPY</v>
      </c>
      <c r="Q11" s="584" t="str">
        <f>VLOOKUP(A11,'[1]Raw data'!$B:$Z,2,FALSE)</f>
        <v>C49SZX20230009MZ</v>
      </c>
      <c r="R11" s="584" t="str">
        <f>VLOOKUP(A11,'[1]Raw data'!$B:$Z,3,FALSE)</f>
        <v>鸿楠</v>
      </c>
      <c r="S11" s="584" t="str">
        <f>VLOOKUP(A11,'[1]Raw data'!$B:$Z,4,FALSE)</f>
        <v>YSM10</v>
      </c>
      <c r="T11" s="584" t="str">
        <f>VLOOKUP(A11,'[1]Raw data'!$B:$Z,8,FALSE)</f>
        <v>R-&gt;L</v>
      </c>
      <c r="U11" s="584" t="str">
        <f>VLOOKUP(A11,'[1]Raw data'!$B:$Z,9,FALSE)</f>
        <v>MVC</v>
      </c>
      <c r="V11" s="583" t="str">
        <f t="shared" ref="V11:V17" si="9">IF(G11&amp;H11=T11&amp;U11,"OK","WRONG")</f>
        <v>WRONG</v>
      </c>
      <c r="W11" s="592" t="str">
        <f>VLOOKUP(A11,'[1]Raw data'!$B:$AG,32,FALSE)</f>
        <v>CIF HK</v>
      </c>
      <c r="X11" s="591">
        <f>VLOOKUP(A11,'[1]Raw data'!$B:$BA,31,FALSE)</f>
        <v>45313</v>
      </c>
      <c r="Y11" s="584" t="str">
        <f>VLOOKUP(A11,'[1]Raw data'!$B:$AS,39,FALSE)</f>
        <v>Yes</v>
      </c>
      <c r="Z11" s="577"/>
      <c r="AA11" s="578"/>
      <c r="AB11" s="579"/>
      <c r="AC11" s="584"/>
      <c r="AD11" s="580">
        <v>302</v>
      </c>
      <c r="AE11" s="580">
        <v>5</v>
      </c>
      <c r="AF11" s="580">
        <v>303</v>
      </c>
      <c r="AG11" s="580">
        <v>5</v>
      </c>
      <c r="AH11" s="580"/>
      <c r="AI11" s="581"/>
      <c r="AN11" s="548"/>
      <c r="AO11" s="612" t="str">
        <f t="shared" si="3"/>
        <v>Yes</v>
      </c>
      <c r="AP11" s="260" t="str">
        <f t="shared" si="1"/>
        <v>blank</v>
      </c>
      <c r="AQ11" s="548" t="str">
        <f t="shared" si="4"/>
        <v>有定金+无客戶送貨期</v>
      </c>
      <c r="AR11" s="260" t="str">
        <f t="shared" si="5"/>
        <v>Instock</v>
      </c>
      <c r="AS11" s="260" t="str">
        <f t="shared" si="6"/>
        <v/>
      </c>
    </row>
    <row r="12" spans="1:45" ht="20.399999999999999">
      <c r="A12" s="565">
        <v>2086</v>
      </c>
      <c r="B12" s="588" t="s">
        <v>72</v>
      </c>
      <c r="C12" s="588" t="s">
        <v>212</v>
      </c>
      <c r="D12" s="589">
        <v>111421</v>
      </c>
      <c r="E12" s="590" t="s">
        <v>167</v>
      </c>
      <c r="F12" s="584" t="s">
        <v>18</v>
      </c>
      <c r="G12" s="584" t="s">
        <v>19</v>
      </c>
      <c r="H12" s="584" t="s">
        <v>27</v>
      </c>
      <c r="I12" s="580" t="s">
        <v>1736</v>
      </c>
      <c r="J12" s="580">
        <v>1</v>
      </c>
      <c r="K12" s="584" t="s">
        <v>230</v>
      </c>
      <c r="L12" s="591">
        <v>45261</v>
      </c>
      <c r="M12" s="585" t="s">
        <v>1784</v>
      </c>
      <c r="N12" s="576" t="s">
        <v>1746</v>
      </c>
      <c r="O12" s="570">
        <v>2023.11</v>
      </c>
      <c r="P12" s="585" t="str">
        <f>VLOOKUP(A12,'[1]Raw data'!$B:$BA,23,FALSE)</f>
        <v>JPY</v>
      </c>
      <c r="Q12" s="584" t="str">
        <f>VLOOKUP(A12,'[1]Raw data'!$B:$Z,2,FALSE)</f>
        <v>C49SZX20240013SX</v>
      </c>
      <c r="R12" s="584" t="str">
        <f>VLOOKUP(A12,'[1]Raw data'!$B:$Z,3,FALSE)</f>
        <v>江西优控</v>
      </c>
      <c r="S12" s="584" t="str">
        <f>VLOOKUP(A12,'[1]Raw data'!$B:$Z,4,FALSE)</f>
        <v>YSM10</v>
      </c>
      <c r="T12" s="584" t="str">
        <f>VLOOKUP(A12,'[1]Raw data'!$B:$Z,8,FALSE)</f>
        <v>L-&gt;R</v>
      </c>
      <c r="U12" s="584" t="str">
        <f>VLOOKUP(A12,'[1]Raw data'!$B:$Z,9,FALSE)</f>
        <v>MVC</v>
      </c>
      <c r="V12" s="583" t="str">
        <f t="shared" si="9"/>
        <v>WRONG</v>
      </c>
      <c r="W12" s="592" t="str">
        <f>VLOOKUP(A12,'[1]Raw data'!$B:$AG,32,FALSE)</f>
        <v>DAP JX</v>
      </c>
      <c r="X12" s="591">
        <f>VLOOKUP(A12,'[1]Raw data'!$B:$BA,31,FALSE)</f>
        <v>45314</v>
      </c>
      <c r="Y12" s="584" t="str">
        <f>VLOOKUP(A12,'[1]Raw data'!$B:$AS,39,FALSE)</f>
        <v>Yes</v>
      </c>
      <c r="Z12" s="577"/>
      <c r="AA12" s="578"/>
      <c r="AB12" s="579"/>
      <c r="AC12" s="584"/>
      <c r="AD12" s="580">
        <v>302</v>
      </c>
      <c r="AE12" s="580">
        <v>5</v>
      </c>
      <c r="AF12" s="580">
        <v>303</v>
      </c>
      <c r="AG12" s="580">
        <v>5</v>
      </c>
      <c r="AH12" s="580"/>
      <c r="AI12" s="581"/>
      <c r="AN12" s="548"/>
      <c r="AO12" s="612" t="str">
        <f t="shared" si="3"/>
        <v>Yes</v>
      </c>
      <c r="AP12" s="260" t="str">
        <f t="shared" si="1"/>
        <v>FEB 24</v>
      </c>
      <c r="AQ12" s="548" t="str">
        <f t="shared" si="4"/>
        <v>有定金+客戶送貨期</v>
      </c>
      <c r="AR12" s="260" t="str">
        <f t="shared" si="5"/>
        <v>Instock</v>
      </c>
      <c r="AS12" s="260" t="str">
        <f t="shared" si="6"/>
        <v/>
      </c>
    </row>
    <row r="13" spans="1:45" ht="20.399999999999999">
      <c r="A13" s="565">
        <v>2085</v>
      </c>
      <c r="B13" s="588" t="s">
        <v>72</v>
      </c>
      <c r="C13" s="588" t="s">
        <v>212</v>
      </c>
      <c r="D13" s="589">
        <v>111464</v>
      </c>
      <c r="E13" s="590" t="s">
        <v>1727</v>
      </c>
      <c r="F13" s="584" t="s">
        <v>55</v>
      </c>
      <c r="G13" s="584" t="s">
        <v>25</v>
      </c>
      <c r="H13" s="584" t="s">
        <v>27</v>
      </c>
      <c r="I13" s="580" t="s">
        <v>1801</v>
      </c>
      <c r="J13" s="580">
        <v>1</v>
      </c>
      <c r="K13" s="584" t="s">
        <v>230</v>
      </c>
      <c r="L13" s="591">
        <v>45296</v>
      </c>
      <c r="M13" s="585" t="s">
        <v>1839</v>
      </c>
      <c r="N13" s="576" t="s">
        <v>1746</v>
      </c>
      <c r="O13" s="570">
        <v>2023.11</v>
      </c>
      <c r="P13" s="585" t="str">
        <f>VLOOKUP(A13,'[1]Raw data'!$B:$BA,23,FALSE)</f>
        <v>JPY</v>
      </c>
      <c r="Q13" s="584" t="str">
        <f>VLOOKUP(A13,'[1]Raw data'!$B:$Z,2,FALSE)</f>
        <v>C49SZX20240013SX</v>
      </c>
      <c r="R13" s="584" t="str">
        <f>VLOOKUP(A13,'[1]Raw data'!$B:$Z,3,FALSE)</f>
        <v>江西优控</v>
      </c>
      <c r="S13" s="584" t="str">
        <f>VLOOKUP(A13,'[1]Raw data'!$B:$Z,4,FALSE)</f>
        <v>YSM20R-2</v>
      </c>
      <c r="T13" s="584" t="str">
        <f>VLOOKUP(A13,'[1]Raw data'!$B:$Z,8,FALSE)</f>
        <v>L-&gt;R</v>
      </c>
      <c r="U13" s="584" t="str">
        <f>VLOOKUP(A13,'[1]Raw data'!$B:$Z,9,FALSE)</f>
        <v>No</v>
      </c>
      <c r="V13" s="583" t="str">
        <f t="shared" ref="V13:V16" si="10">IF(G13&amp;H13=T13&amp;U13,"OK","WRONG")</f>
        <v>OK</v>
      </c>
      <c r="W13" s="592" t="str">
        <f>VLOOKUP(A13,'[1]Raw data'!$B:$AG,32,FALSE)</f>
        <v>DAP JX</v>
      </c>
      <c r="X13" s="591">
        <f>VLOOKUP(A13,'[1]Raw data'!$B:$BA,31,FALSE)</f>
        <v>45314</v>
      </c>
      <c r="Y13" s="584" t="str">
        <f>VLOOKUP(A13,'[1]Raw data'!$B:$AS,39,FALSE)</f>
        <v>Yes</v>
      </c>
      <c r="Z13" s="577"/>
      <c r="AA13" s="578"/>
      <c r="AB13" s="579"/>
      <c r="AC13" s="584"/>
      <c r="AD13" s="580">
        <v>311</v>
      </c>
      <c r="AE13" s="580">
        <v>10</v>
      </c>
      <c r="AF13" s="580">
        <v>301</v>
      </c>
      <c r="AG13" s="580">
        <v>5</v>
      </c>
      <c r="AH13" s="580">
        <v>302</v>
      </c>
      <c r="AI13" s="581">
        <v>5</v>
      </c>
      <c r="AN13" s="548"/>
      <c r="AO13" s="612" t="str">
        <f t="shared" si="3"/>
        <v>Yes</v>
      </c>
      <c r="AP13" s="260" t="str">
        <f t="shared" si="1"/>
        <v>FEB 24</v>
      </c>
      <c r="AQ13" s="548" t="str">
        <f t="shared" si="4"/>
        <v>有定金+客戶送貨期</v>
      </c>
      <c r="AR13" s="260" t="str">
        <f t="shared" si="5"/>
        <v>Instock</v>
      </c>
      <c r="AS13" s="260" t="str">
        <f t="shared" si="6"/>
        <v/>
      </c>
    </row>
    <row r="14" spans="1:45" ht="20.399999999999999">
      <c r="A14" s="565">
        <v>2087</v>
      </c>
      <c r="B14" s="588" t="s">
        <v>72</v>
      </c>
      <c r="C14" s="588" t="s">
        <v>212</v>
      </c>
      <c r="D14" s="589">
        <v>111464</v>
      </c>
      <c r="E14" s="590" t="s">
        <v>1727</v>
      </c>
      <c r="F14" s="584" t="s">
        <v>55</v>
      </c>
      <c r="G14" s="584" t="s">
        <v>25</v>
      </c>
      <c r="H14" s="584" t="s">
        <v>27</v>
      </c>
      <c r="I14" s="580" t="s">
        <v>1802</v>
      </c>
      <c r="J14" s="580">
        <v>1</v>
      </c>
      <c r="K14" s="584" t="s">
        <v>230</v>
      </c>
      <c r="L14" s="591">
        <v>45296</v>
      </c>
      <c r="M14" s="585" t="s">
        <v>1839</v>
      </c>
      <c r="N14" s="576" t="s">
        <v>1746</v>
      </c>
      <c r="O14" s="570">
        <v>2023.12</v>
      </c>
      <c r="P14" s="585" t="str">
        <f>VLOOKUP(A14,'[1]Raw data'!$B:$BA,23,FALSE)</f>
        <v>USD</v>
      </c>
      <c r="Q14" s="584" t="str">
        <f>VLOOKUP(A14,'[1]Raw data'!$B:$Z,2,FALSE)</f>
        <v>C49SZX20240019SX</v>
      </c>
      <c r="R14" s="584" t="str">
        <f>VLOOKUP(A14,'[1]Raw data'!$B:$Z,3,FALSE)</f>
        <v>佳日兴（end user:广基达）</v>
      </c>
      <c r="S14" s="584" t="str">
        <f>VLOOKUP(A14,'[1]Raw data'!$B:$Z,4,FALSE)</f>
        <v>YSM20R-2</v>
      </c>
      <c r="T14" s="584" t="str">
        <f>VLOOKUP(A14,'[1]Raw data'!$B:$Z,8,FALSE)</f>
        <v>L-&gt;R</v>
      </c>
      <c r="U14" s="584" t="str">
        <f>VLOOKUP(A14,'[1]Raw data'!$B:$Z,9,FALSE)</f>
        <v>No</v>
      </c>
      <c r="V14" s="583" t="str">
        <f t="shared" si="10"/>
        <v>OK</v>
      </c>
      <c r="W14" s="592" t="str">
        <f>VLOOKUP(A14,'[1]Raw data'!$B:$AG,32,FALSE)</f>
        <v>CIF Vietnam</v>
      </c>
      <c r="X14" s="591">
        <f>VLOOKUP(A14,'[1]Raw data'!$B:$BA,31,FALSE)</f>
        <v>45317</v>
      </c>
      <c r="Y14" s="584" t="str">
        <f>VLOOKUP(A14,'[1]Raw data'!$B:$AS,39,FALSE)</f>
        <v>Yes</v>
      </c>
      <c r="Z14" s="577"/>
      <c r="AA14" s="578"/>
      <c r="AB14" s="579"/>
      <c r="AC14" s="584"/>
      <c r="AD14" s="580">
        <v>311</v>
      </c>
      <c r="AE14" s="580">
        <v>10</v>
      </c>
      <c r="AF14" s="580">
        <v>301</v>
      </c>
      <c r="AG14" s="580">
        <v>5</v>
      </c>
      <c r="AH14" s="580">
        <v>303</v>
      </c>
      <c r="AI14" s="581">
        <v>5</v>
      </c>
      <c r="AN14" s="548"/>
      <c r="AO14" s="612" t="str">
        <f t="shared" si="3"/>
        <v>Yes</v>
      </c>
      <c r="AP14" s="260" t="str">
        <f t="shared" si="1"/>
        <v>FEB 24</v>
      </c>
      <c r="AQ14" s="548" t="str">
        <f t="shared" si="4"/>
        <v>有定金+客戶送貨期</v>
      </c>
      <c r="AR14" s="260" t="str">
        <f t="shared" si="5"/>
        <v>Instock</v>
      </c>
      <c r="AS14" s="260" t="str">
        <f t="shared" si="6"/>
        <v/>
      </c>
    </row>
    <row r="15" spans="1:45" ht="20.399999999999999">
      <c r="B15" s="588" t="s">
        <v>72</v>
      </c>
      <c r="C15" s="588" t="s">
        <v>212</v>
      </c>
      <c r="D15" s="589">
        <v>111464</v>
      </c>
      <c r="E15" s="590" t="s">
        <v>1727</v>
      </c>
      <c r="F15" s="584" t="s">
        <v>55</v>
      </c>
      <c r="G15" s="584" t="s">
        <v>25</v>
      </c>
      <c r="H15" s="584" t="s">
        <v>27</v>
      </c>
      <c r="I15" s="580" t="s">
        <v>1803</v>
      </c>
      <c r="J15" s="580">
        <v>1</v>
      </c>
      <c r="K15" s="584" t="s">
        <v>230</v>
      </c>
      <c r="L15" s="591">
        <v>45296</v>
      </c>
      <c r="M15" s="585" t="s">
        <v>1839</v>
      </c>
      <c r="N15" s="576"/>
      <c r="O15" s="570">
        <v>2023.12</v>
      </c>
      <c r="P15" s="585" t="e">
        <f>VLOOKUP(A15,'[1]Raw data'!$B:$BA,23,FALSE)</f>
        <v>#N/A</v>
      </c>
      <c r="Q15" s="584" t="e">
        <f>VLOOKUP(A15,'[1]Raw data'!$B:$Z,2,FALSE)</f>
        <v>#N/A</v>
      </c>
      <c r="R15" s="584" t="e">
        <f>VLOOKUP(A15,'[1]Raw data'!$B:$Z,3,FALSE)</f>
        <v>#N/A</v>
      </c>
      <c r="S15" s="584" t="e">
        <f>VLOOKUP(A15,'[1]Raw data'!$B:$Z,4,FALSE)</f>
        <v>#N/A</v>
      </c>
      <c r="T15" s="584" t="e">
        <f>VLOOKUP(A15,'[1]Raw data'!$B:$Z,8,FALSE)</f>
        <v>#N/A</v>
      </c>
      <c r="U15" s="584" t="e">
        <f>VLOOKUP(A15,'[1]Raw data'!$B:$Z,9,FALSE)</f>
        <v>#N/A</v>
      </c>
      <c r="V15" s="583" t="e">
        <f t="shared" si="10"/>
        <v>#N/A</v>
      </c>
      <c r="W15" s="592" t="e">
        <f>VLOOKUP(A15,'[1]Raw data'!$B:$AG,32,FALSE)</f>
        <v>#N/A</v>
      </c>
      <c r="X15" s="591" t="e">
        <f>VLOOKUP(A15,'[1]Raw data'!$B:$BA,31,FALSE)</f>
        <v>#N/A</v>
      </c>
      <c r="Y15" s="584" t="e">
        <f>VLOOKUP(A15,'[1]Raw data'!$B:$AS,39,FALSE)</f>
        <v>#N/A</v>
      </c>
      <c r="Z15" s="577"/>
      <c r="AA15" s="578"/>
      <c r="AB15" s="579"/>
      <c r="AC15" s="584"/>
      <c r="AD15" s="580">
        <v>311</v>
      </c>
      <c r="AE15" s="580">
        <v>10</v>
      </c>
      <c r="AF15" s="580">
        <v>302</v>
      </c>
      <c r="AG15" s="580">
        <v>5</v>
      </c>
      <c r="AH15" s="580">
        <v>303</v>
      </c>
      <c r="AI15" s="581">
        <v>5</v>
      </c>
      <c r="AN15" s="548"/>
      <c r="AO15" s="612" t="str">
        <f t="shared" si="3"/>
        <v>No</v>
      </c>
      <c r="AP15" s="260" t="str">
        <f t="shared" si="1"/>
        <v>blank</v>
      </c>
      <c r="AQ15" s="548" t="str">
        <f t="shared" si="4"/>
        <v>无定金+无客戶送貨期</v>
      </c>
      <c r="AR15" s="260" t="str">
        <f t="shared" si="5"/>
        <v>Instock</v>
      </c>
      <c r="AS15" s="260" t="str">
        <f t="shared" si="6"/>
        <v/>
      </c>
    </row>
    <row r="16" spans="1:45" ht="20.399999999999999">
      <c r="B16" s="588" t="s">
        <v>72</v>
      </c>
      <c r="C16" s="588" t="s">
        <v>212</v>
      </c>
      <c r="D16" s="589">
        <v>111464</v>
      </c>
      <c r="E16" s="590" t="s">
        <v>1727</v>
      </c>
      <c r="F16" s="584" t="s">
        <v>55</v>
      </c>
      <c r="G16" s="584" t="s">
        <v>25</v>
      </c>
      <c r="H16" s="584" t="s">
        <v>27</v>
      </c>
      <c r="I16" s="580" t="s">
        <v>1804</v>
      </c>
      <c r="J16" s="580">
        <v>1</v>
      </c>
      <c r="K16" s="584" t="s">
        <v>230</v>
      </c>
      <c r="L16" s="591">
        <v>45296</v>
      </c>
      <c r="M16" s="585" t="s">
        <v>1839</v>
      </c>
      <c r="N16" s="576"/>
      <c r="O16" s="570">
        <v>2023.12</v>
      </c>
      <c r="P16" s="585" t="e">
        <f>VLOOKUP(A16,'[1]Raw data'!$B:$BA,23,FALSE)</f>
        <v>#N/A</v>
      </c>
      <c r="Q16" s="584" t="e">
        <f>VLOOKUP(A16,'[1]Raw data'!$B:$Z,2,FALSE)</f>
        <v>#N/A</v>
      </c>
      <c r="R16" s="584" t="e">
        <f>VLOOKUP(A16,'[1]Raw data'!$B:$Z,3,FALSE)</f>
        <v>#N/A</v>
      </c>
      <c r="S16" s="584" t="e">
        <f>VLOOKUP(A16,'[1]Raw data'!$B:$Z,4,FALSE)</f>
        <v>#N/A</v>
      </c>
      <c r="T16" s="584" t="e">
        <f>VLOOKUP(A16,'[1]Raw data'!$B:$Z,8,FALSE)</f>
        <v>#N/A</v>
      </c>
      <c r="U16" s="584" t="e">
        <f>VLOOKUP(A16,'[1]Raw data'!$B:$Z,9,FALSE)</f>
        <v>#N/A</v>
      </c>
      <c r="V16" s="583" t="e">
        <f t="shared" si="10"/>
        <v>#N/A</v>
      </c>
      <c r="W16" s="592" t="e">
        <f>VLOOKUP(A16,'[1]Raw data'!$B:$AG,32,FALSE)</f>
        <v>#N/A</v>
      </c>
      <c r="X16" s="591" t="e">
        <f>VLOOKUP(A16,'[1]Raw data'!$B:$BA,31,FALSE)</f>
        <v>#N/A</v>
      </c>
      <c r="Y16" s="584" t="e">
        <f>VLOOKUP(A16,'[1]Raw data'!$B:$AS,39,FALSE)</f>
        <v>#N/A</v>
      </c>
      <c r="Z16" s="577"/>
      <c r="AA16" s="578"/>
      <c r="AB16" s="579"/>
      <c r="AC16" s="584"/>
      <c r="AD16" s="580">
        <v>311</v>
      </c>
      <c r="AE16" s="580">
        <v>10</v>
      </c>
      <c r="AF16" s="580">
        <v>302</v>
      </c>
      <c r="AG16" s="580">
        <v>5</v>
      </c>
      <c r="AH16" s="580">
        <v>303</v>
      </c>
      <c r="AI16" s="581">
        <v>5</v>
      </c>
      <c r="AN16" s="548"/>
      <c r="AO16" s="612" t="str">
        <f t="shared" si="3"/>
        <v>No</v>
      </c>
      <c r="AP16" s="260" t="str">
        <f t="shared" si="1"/>
        <v>blank</v>
      </c>
      <c r="AQ16" s="548" t="str">
        <f t="shared" si="4"/>
        <v>无定金+无客戶送貨期</v>
      </c>
      <c r="AR16" s="260" t="str">
        <f t="shared" si="5"/>
        <v>Instock</v>
      </c>
      <c r="AS16" s="260" t="str">
        <f t="shared" si="6"/>
        <v/>
      </c>
    </row>
    <row r="17" spans="1:45">
      <c r="A17" s="565">
        <v>1969</v>
      </c>
      <c r="B17" s="588" t="s">
        <v>72</v>
      </c>
      <c r="C17" s="588" t="s">
        <v>16</v>
      </c>
      <c r="D17" s="589">
        <v>111440</v>
      </c>
      <c r="E17" s="590" t="s">
        <v>1603</v>
      </c>
      <c r="F17" s="584" t="s">
        <v>1604</v>
      </c>
      <c r="G17" s="584" t="s">
        <v>25</v>
      </c>
      <c r="H17" s="584" t="s">
        <v>27</v>
      </c>
      <c r="I17" s="580" t="s">
        <v>1805</v>
      </c>
      <c r="J17" s="580">
        <v>1</v>
      </c>
      <c r="K17" s="584" t="s">
        <v>230</v>
      </c>
      <c r="L17" s="591">
        <v>45296</v>
      </c>
      <c r="M17" s="585">
        <v>4.9599999999999998E-2</v>
      </c>
      <c r="N17" s="576" t="s">
        <v>1746</v>
      </c>
      <c r="O17" s="570">
        <v>2023.12</v>
      </c>
      <c r="P17" s="585" t="str">
        <f>VLOOKUP(A17,'[1]Raw data'!$B:$BA,23,FALSE)</f>
        <v>RMB</v>
      </c>
      <c r="Q17" s="584" t="str">
        <f>VLOOKUP(A17,'[1]Raw data'!$B:$Z,2,FALSE)</f>
        <v>SNFPC-CG-2023-006</v>
      </c>
      <c r="R17" s="584" t="str">
        <f>VLOOKUP(A17,'[1]Raw data'!$B:$Z,3,FALSE)</f>
        <v xml:space="preserve">康佳 </v>
      </c>
      <c r="S17" s="584" t="str">
        <f>VLOOKUP(A17,'[1]Raw data'!$B:$Z,4,FALSE)</f>
        <v>S20</v>
      </c>
      <c r="T17" s="584" t="str">
        <f>VLOOKUP(A17,'[1]Raw data'!$B:$Z,8,FALSE)</f>
        <v>L-&gt;R</v>
      </c>
      <c r="U17" s="584" t="str">
        <f>VLOOKUP(A17,'[1]Raw data'!$B:$Z,9,FALSE)</f>
        <v>No</v>
      </c>
      <c r="V17" s="583" t="str">
        <f t="shared" si="9"/>
        <v>OK</v>
      </c>
      <c r="W17" s="592" t="str">
        <f>VLOOKUP(A17,'[1]Raw data'!$B:$AG,32,FALSE)</f>
        <v>DDP SN</v>
      </c>
      <c r="X17" s="591">
        <f>VLOOKUP(A17,'[1]Raw data'!$B:$BA,31,FALSE)</f>
        <v>45142</v>
      </c>
      <c r="Y17" s="584" t="str">
        <f>VLOOKUP(A17,'[1]Raw data'!$B:$AS,39,FALSE)</f>
        <v>Yes</v>
      </c>
      <c r="Z17" s="577"/>
      <c r="AA17" s="578"/>
      <c r="AB17" s="579"/>
      <c r="AC17" s="584"/>
      <c r="AD17" s="580"/>
      <c r="AE17" s="580"/>
      <c r="AF17" s="580"/>
      <c r="AG17" s="580"/>
      <c r="AH17" s="580"/>
      <c r="AI17" s="581"/>
      <c r="AN17" s="548"/>
      <c r="AO17" s="612" t="str">
        <f t="shared" si="3"/>
        <v>Yes</v>
      </c>
      <c r="AP17" s="260" t="str">
        <f t="shared" si="1"/>
        <v>FEB 24</v>
      </c>
      <c r="AQ17" s="548" t="str">
        <f t="shared" si="4"/>
        <v>有定金+客戶送貨期</v>
      </c>
      <c r="AR17" s="260" t="str">
        <f t="shared" si="5"/>
        <v>Instock</v>
      </c>
      <c r="AS17" s="260" t="str">
        <f t="shared" si="6"/>
        <v/>
      </c>
    </row>
    <row r="18" spans="1:45" ht="20.399999999999999">
      <c r="A18" s="565">
        <v>2088</v>
      </c>
      <c r="B18" s="588" t="s">
        <v>72</v>
      </c>
      <c r="C18" s="588" t="s">
        <v>212</v>
      </c>
      <c r="D18" s="589">
        <v>111465</v>
      </c>
      <c r="E18" s="590" t="s">
        <v>167</v>
      </c>
      <c r="F18" s="584" t="s">
        <v>18</v>
      </c>
      <c r="G18" s="584" t="s">
        <v>19</v>
      </c>
      <c r="H18" s="584" t="s">
        <v>20</v>
      </c>
      <c r="I18" s="580" t="s">
        <v>1806</v>
      </c>
      <c r="J18" s="580">
        <v>1</v>
      </c>
      <c r="K18" s="584" t="s">
        <v>230</v>
      </c>
      <c r="L18" s="591">
        <v>45296</v>
      </c>
      <c r="M18" s="585" t="s">
        <v>1839</v>
      </c>
      <c r="N18" s="576" t="s">
        <v>1746</v>
      </c>
      <c r="O18" s="570">
        <v>2023.12</v>
      </c>
      <c r="P18" s="585" t="str">
        <f>VLOOKUP(A18,'[1]Raw data'!$B:$BA,23,FALSE)</f>
        <v>USD</v>
      </c>
      <c r="Q18" s="584" t="str">
        <f>VLOOKUP(A18,'[1]Raw data'!$B:$Z,2,FALSE)</f>
        <v>C49SZX20240019SX</v>
      </c>
      <c r="R18" s="584" t="str">
        <f>VLOOKUP(A18,'[1]Raw data'!$B:$Z,3,FALSE)</f>
        <v>佳日兴（end user:广基达）</v>
      </c>
      <c r="S18" s="584" t="str">
        <f>VLOOKUP(A18,'[1]Raw data'!$B:$Z,4,FALSE)</f>
        <v>YSM10</v>
      </c>
      <c r="T18" s="584" t="str">
        <f>VLOOKUP(A18,'[1]Raw data'!$B:$Z,8,FALSE)</f>
        <v>L-&gt;R</v>
      </c>
      <c r="U18" s="584" t="str">
        <f>VLOOKUP(A18,'[1]Raw data'!$B:$Z,9,FALSE)</f>
        <v>MVC+ATS15</v>
      </c>
      <c r="V18" s="583" t="str">
        <f t="shared" ref="V18:V23" si="11">IF(G18&amp;H18=T18&amp;U18,"OK","WRONG")</f>
        <v>WRONG</v>
      </c>
      <c r="W18" s="592" t="str">
        <f>VLOOKUP(A18,'[1]Raw data'!$B:$AG,32,FALSE)</f>
        <v>CIF Vietnam</v>
      </c>
      <c r="X18" s="591">
        <f>VLOOKUP(A18,'[1]Raw data'!$B:$BA,31,FALSE)</f>
        <v>45317</v>
      </c>
      <c r="Y18" s="584" t="str">
        <f>VLOOKUP(A18,'[1]Raw data'!$B:$AS,39,FALSE)</f>
        <v>Yes</v>
      </c>
      <c r="Z18" s="577"/>
      <c r="AA18" s="578"/>
      <c r="AB18" s="579"/>
      <c r="AC18" s="584"/>
      <c r="AD18" s="580">
        <v>301</v>
      </c>
      <c r="AE18" s="580">
        <v>10</v>
      </c>
      <c r="AF18" s="580"/>
      <c r="AG18" s="580"/>
      <c r="AH18" s="580"/>
      <c r="AI18" s="581"/>
      <c r="AN18" s="548"/>
      <c r="AO18" s="612" t="str">
        <f t="shared" si="3"/>
        <v>Yes</v>
      </c>
      <c r="AP18" s="260" t="str">
        <f t="shared" ref="AP18:AP94" si="12">IFERROR(IF(N18&lt;&gt;"",N18,"blank"),"NA")</f>
        <v>FEB 24</v>
      </c>
      <c r="AQ18" s="548" t="str">
        <f t="shared" si="4"/>
        <v>有定金+客戶送貨期</v>
      </c>
      <c r="AR18" s="260" t="str">
        <f t="shared" si="5"/>
        <v>Instock</v>
      </c>
      <c r="AS18" s="260" t="str">
        <f t="shared" si="6"/>
        <v/>
      </c>
    </row>
    <row r="19" spans="1:45" ht="20.399999999999999">
      <c r="A19" s="565">
        <v>2094</v>
      </c>
      <c r="B19" s="588" t="s">
        <v>72</v>
      </c>
      <c r="C19" s="588" t="s">
        <v>212</v>
      </c>
      <c r="D19" s="589">
        <v>111465</v>
      </c>
      <c r="E19" s="590" t="s">
        <v>167</v>
      </c>
      <c r="F19" s="584" t="s">
        <v>18</v>
      </c>
      <c r="G19" s="584" t="s">
        <v>19</v>
      </c>
      <c r="H19" s="584" t="s">
        <v>20</v>
      </c>
      <c r="I19" s="580" t="s">
        <v>1807</v>
      </c>
      <c r="J19" s="580">
        <v>1</v>
      </c>
      <c r="K19" s="584" t="s">
        <v>230</v>
      </c>
      <c r="L19" s="591">
        <v>45296</v>
      </c>
      <c r="M19" s="585" t="s">
        <v>1839</v>
      </c>
      <c r="N19" s="576" t="s">
        <v>1840</v>
      </c>
      <c r="O19" s="570">
        <v>2023.12</v>
      </c>
      <c r="P19" s="585" t="str">
        <f>VLOOKUP(A19,'[1]Raw data'!$B:$BA,23,FALSE)</f>
        <v>USD</v>
      </c>
      <c r="Q19" s="584" t="str">
        <f>VLOOKUP(A19,'[1]Raw data'!$B:$Z,2,FALSE)</f>
        <v>C49SZX20240026JL/4600004198</v>
      </c>
      <c r="R19" s="584" t="str">
        <f>VLOOKUP(A19,'[1]Raw data'!$B:$Z,3,FALSE)</f>
        <v>高伟</v>
      </c>
      <c r="S19" s="584" t="str">
        <f>VLOOKUP(A19,'[1]Raw data'!$B:$Z,4,FALSE)</f>
        <v>YSM10</v>
      </c>
      <c r="T19" s="584" t="str">
        <f>VLOOKUP(A19,'[1]Raw data'!$B:$Z,8,FALSE)</f>
        <v>L-&gt;R</v>
      </c>
      <c r="U19" s="584" t="str">
        <f>VLOOKUP(A19,'[1]Raw data'!$B:$Z,9,FALSE)</f>
        <v>MVC+ATS15</v>
      </c>
      <c r="V19" s="583" t="str">
        <f t="shared" si="11"/>
        <v>WRONG</v>
      </c>
      <c r="W19" s="592" t="str">
        <f>VLOOKUP(A19,'[1]Raw data'!$B:$AG,32,FALSE)</f>
        <v>CIF HK</v>
      </c>
      <c r="X19" s="591">
        <f>VLOOKUP(A19,'[1]Raw data'!$B:$BA,31,FALSE)</f>
        <v>45323</v>
      </c>
      <c r="Y19" s="584" t="str">
        <f>VLOOKUP(A19,'[1]Raw data'!$B:$AS,39,FALSE)</f>
        <v>Yes</v>
      </c>
      <c r="Z19" s="577"/>
      <c r="AA19" s="578"/>
      <c r="AB19" s="579"/>
      <c r="AC19" s="584"/>
      <c r="AD19" s="580">
        <v>301</v>
      </c>
      <c r="AE19" s="580">
        <v>10</v>
      </c>
      <c r="AF19" s="580"/>
      <c r="AG19" s="580"/>
      <c r="AH19" s="580"/>
      <c r="AI19" s="581"/>
      <c r="AN19" s="548"/>
      <c r="AO19" s="612" t="str">
        <f t="shared" si="3"/>
        <v>Yes</v>
      </c>
      <c r="AP19" s="260" t="str">
        <f t="shared" si="12"/>
        <v>MAR 24</v>
      </c>
      <c r="AQ19" s="548" t="str">
        <f t="shared" si="4"/>
        <v>有定金+客戶送貨期</v>
      </c>
      <c r="AR19" s="260" t="str">
        <f t="shared" si="5"/>
        <v>Instock</v>
      </c>
      <c r="AS19" s="260" t="str">
        <f t="shared" si="6"/>
        <v/>
      </c>
    </row>
    <row r="20" spans="1:45" ht="20.399999999999999">
      <c r="A20" s="565">
        <v>2095</v>
      </c>
      <c r="B20" s="588" t="s">
        <v>72</v>
      </c>
      <c r="C20" s="588" t="s">
        <v>212</v>
      </c>
      <c r="D20" s="589">
        <v>111465</v>
      </c>
      <c r="E20" s="590" t="s">
        <v>167</v>
      </c>
      <c r="F20" s="584" t="s">
        <v>18</v>
      </c>
      <c r="G20" s="584" t="s">
        <v>19</v>
      </c>
      <c r="H20" s="584" t="s">
        <v>20</v>
      </c>
      <c r="I20" s="580" t="s">
        <v>1808</v>
      </c>
      <c r="J20" s="580">
        <v>1</v>
      </c>
      <c r="K20" s="584" t="s">
        <v>230</v>
      </c>
      <c r="L20" s="591">
        <v>45296</v>
      </c>
      <c r="M20" s="585" t="s">
        <v>1839</v>
      </c>
      <c r="N20" s="576" t="s">
        <v>1840</v>
      </c>
      <c r="O20" s="570">
        <v>2023.12</v>
      </c>
      <c r="P20" s="585" t="str">
        <f>VLOOKUP(A20,'[1]Raw data'!$B:$BA,23,FALSE)</f>
        <v>USD</v>
      </c>
      <c r="Q20" s="584" t="str">
        <f>VLOOKUP(A20,'[1]Raw data'!$B:$Z,2,FALSE)</f>
        <v>C49SZX20240026JL/4600004198</v>
      </c>
      <c r="R20" s="584" t="str">
        <f>VLOOKUP(A20,'[1]Raw data'!$B:$Z,3,FALSE)</f>
        <v>高伟</v>
      </c>
      <c r="S20" s="584" t="str">
        <f>VLOOKUP(A20,'[1]Raw data'!$B:$Z,4,FALSE)</f>
        <v>YSM10</v>
      </c>
      <c r="T20" s="584" t="str">
        <f>VLOOKUP(A20,'[1]Raw data'!$B:$Z,8,FALSE)</f>
        <v>L-&gt;R</v>
      </c>
      <c r="U20" s="584" t="str">
        <f>VLOOKUP(A20,'[1]Raw data'!$B:$Z,9,FALSE)</f>
        <v>MVC+ATS15</v>
      </c>
      <c r="V20" s="583" t="str">
        <f t="shared" si="11"/>
        <v>WRONG</v>
      </c>
      <c r="W20" s="592" t="str">
        <f>VLOOKUP(A20,'[1]Raw data'!$B:$AG,32,FALSE)</f>
        <v>CIF HK</v>
      </c>
      <c r="X20" s="591">
        <f>VLOOKUP(A20,'[1]Raw data'!$B:$BA,31,FALSE)</f>
        <v>45323</v>
      </c>
      <c r="Y20" s="584" t="str">
        <f>VLOOKUP(A20,'[1]Raw data'!$B:$AS,39,FALSE)</f>
        <v>Yes</v>
      </c>
      <c r="Z20" s="577"/>
      <c r="AA20" s="578"/>
      <c r="AB20" s="579"/>
      <c r="AC20" s="584"/>
      <c r="AD20" s="580">
        <v>301</v>
      </c>
      <c r="AE20" s="580">
        <v>10</v>
      </c>
      <c r="AF20" s="580"/>
      <c r="AG20" s="580"/>
      <c r="AH20" s="580"/>
      <c r="AI20" s="581"/>
      <c r="AN20" s="548"/>
      <c r="AO20" s="612" t="str">
        <f t="shared" si="3"/>
        <v>Yes</v>
      </c>
      <c r="AP20" s="260" t="str">
        <f t="shared" si="12"/>
        <v>MAR 24</v>
      </c>
      <c r="AQ20" s="548" t="str">
        <f t="shared" si="4"/>
        <v>有定金+客戶送貨期</v>
      </c>
      <c r="AR20" s="260" t="str">
        <f t="shared" si="5"/>
        <v>Instock</v>
      </c>
      <c r="AS20" s="260" t="str">
        <f t="shared" si="6"/>
        <v/>
      </c>
    </row>
    <row r="21" spans="1:45" hidden="1">
      <c r="A21" s="565">
        <v>2079</v>
      </c>
      <c r="B21" s="588" t="s">
        <v>1703</v>
      </c>
      <c r="C21" s="588" t="s">
        <v>212</v>
      </c>
      <c r="D21" s="589" t="s">
        <v>1851</v>
      </c>
      <c r="E21" s="590" t="s">
        <v>1852</v>
      </c>
      <c r="F21" s="584" t="s">
        <v>113</v>
      </c>
      <c r="G21" s="584" t="s">
        <v>213</v>
      </c>
      <c r="H21" s="584" t="s">
        <v>27</v>
      </c>
      <c r="I21" s="580"/>
      <c r="J21" s="580">
        <v>1</v>
      </c>
      <c r="K21" s="584" t="s">
        <v>233</v>
      </c>
      <c r="L21" s="591" t="s">
        <v>1853</v>
      </c>
      <c r="M21" s="585" t="s">
        <v>1872</v>
      </c>
      <c r="N21" s="576"/>
      <c r="O21" s="570"/>
      <c r="P21" s="585" t="str">
        <f>VLOOKUP(A21,'[1]Raw data'!$B:$BA,23,FALSE)</f>
        <v>RMB</v>
      </c>
      <c r="Q21" s="584" t="str">
        <f>VLOOKUP(A21,'[1]Raw data'!$B:$Z,2,FALSE)</f>
        <v>C49SZX20240015DX</v>
      </c>
      <c r="R21" s="584" t="str">
        <f>VLOOKUP(A21,'[1]Raw data'!$B:$Z,3,FALSE)</f>
        <v>盟思拓</v>
      </c>
      <c r="S21" s="584" t="str">
        <f>VLOOKUP(A21,'[1]Raw data'!$B:$Z,4,FALSE)</f>
        <v>YSM40R-4</v>
      </c>
      <c r="T21" s="584" t="str">
        <f>VLOOKUP(A21,'[1]Raw data'!$B:$Z,8,FALSE)</f>
        <v>L-&gt;R</v>
      </c>
      <c r="U21" s="584" t="str">
        <f>VLOOKUP(A21,'[1]Raw data'!$B:$Z,9,FALSE)</f>
        <v>No</v>
      </c>
      <c r="V21" s="583" t="str">
        <f>IF(G21&amp;H21=T21&amp;U21,"OK","WRONG")</f>
        <v>WRONG</v>
      </c>
      <c r="W21" s="592" t="str">
        <f>VLOOKUP(A21,'[1]Raw data'!$B:$AG,32,FALSE)</f>
        <v>DDP SZ</v>
      </c>
      <c r="X21" s="591">
        <f>VLOOKUP(A21,'[1]Raw data'!$B:$BA,31,FALSE)</f>
        <v>45316</v>
      </c>
      <c r="Y21" s="584" t="str">
        <f>VLOOKUP(A21,'[1]Raw data'!$B:$AS,39,FALSE)</f>
        <v>Yes</v>
      </c>
      <c r="Z21" s="577"/>
      <c r="AA21" s="578"/>
      <c r="AB21" s="579"/>
      <c r="AC21" s="584"/>
      <c r="AD21" s="580"/>
      <c r="AE21" s="580"/>
      <c r="AF21" s="580"/>
      <c r="AG21" s="580"/>
      <c r="AH21" s="580"/>
      <c r="AI21" s="581"/>
      <c r="AN21" s="548"/>
      <c r="AO21" s="612" t="str">
        <f>IFERROR(IF(Y21&lt;&gt;"",Y21,"blank"),"NA")</f>
        <v>Yes</v>
      </c>
      <c r="AP21" s="260" t="str">
        <f>IFERROR(IF(N21&lt;&gt;"",N21,"blank"),"NA")</f>
        <v>blank</v>
      </c>
      <c r="AQ21" s="548" t="str">
        <f t="shared" si="4"/>
        <v>有定金+无客戶送貨期</v>
      </c>
      <c r="AR21" s="260" t="str">
        <f t="shared" ref="AR21:AR66" si="13">IFERROR(IF(B21="已经到货", "Instock", IF(B21="有交期", "Incoming_Stock_With_YAMAHA_Schedule", IF(B21="TBA.", "Incoming_Stock_No_YAMAHA_Schedule", IF(B21="已发货", "Shipped_Stock", "")))), "")</f>
        <v>Incoming_Stock_No_YAMAHA_Schedule</v>
      </c>
      <c r="AS21" s="260" t="str">
        <f t="shared" si="6"/>
        <v/>
      </c>
    </row>
    <row r="22" spans="1:45" hidden="1">
      <c r="A22" s="565">
        <v>2080</v>
      </c>
      <c r="B22" s="588" t="s">
        <v>1703</v>
      </c>
      <c r="C22" s="588" t="s">
        <v>212</v>
      </c>
      <c r="D22" s="589" t="s">
        <v>1851</v>
      </c>
      <c r="E22" s="590" t="s">
        <v>1852</v>
      </c>
      <c r="F22" s="584" t="s">
        <v>113</v>
      </c>
      <c r="G22" s="584" t="s">
        <v>213</v>
      </c>
      <c r="H22" s="584" t="s">
        <v>27</v>
      </c>
      <c r="I22" s="580"/>
      <c r="J22" s="580">
        <v>1</v>
      </c>
      <c r="K22" s="584" t="s">
        <v>233</v>
      </c>
      <c r="L22" s="591" t="s">
        <v>1853</v>
      </c>
      <c r="M22" s="585" t="s">
        <v>1872</v>
      </c>
      <c r="N22" s="576"/>
      <c r="O22" s="570"/>
      <c r="P22" s="585" t="str">
        <f>VLOOKUP(A22,'[1]Raw data'!$B:$BA,23,FALSE)</f>
        <v>RMB</v>
      </c>
      <c r="Q22" s="584" t="str">
        <f>VLOOKUP(A22,'[1]Raw data'!$B:$Z,2,FALSE)</f>
        <v>C49SZX20240015DX</v>
      </c>
      <c r="R22" s="584" t="str">
        <f>VLOOKUP(A22,'[1]Raw data'!$B:$Z,3,FALSE)</f>
        <v>盟思拓</v>
      </c>
      <c r="S22" s="584" t="str">
        <f>VLOOKUP(A22,'[1]Raw data'!$B:$Z,4,FALSE)</f>
        <v>YSM40R-4</v>
      </c>
      <c r="T22" s="584" t="str">
        <f>VLOOKUP(A22,'[1]Raw data'!$B:$Z,8,FALSE)</f>
        <v>L-&gt;R</v>
      </c>
      <c r="U22" s="584" t="str">
        <f>VLOOKUP(A22,'[1]Raw data'!$B:$Z,9,FALSE)</f>
        <v>No</v>
      </c>
      <c r="V22" s="583" t="str">
        <f>IF(G22&amp;H22=T22&amp;U22,"OK","WRONG")</f>
        <v>WRONG</v>
      </c>
      <c r="W22" s="592" t="str">
        <f>VLOOKUP(A22,'[1]Raw data'!$B:$AG,32,FALSE)</f>
        <v>DDP SZ</v>
      </c>
      <c r="X22" s="591">
        <f>VLOOKUP(A22,'[1]Raw data'!$B:$BA,31,FALSE)</f>
        <v>45316</v>
      </c>
      <c r="Y22" s="584" t="str">
        <f>VLOOKUP(A22,'[1]Raw data'!$B:$AS,39,FALSE)</f>
        <v>Yes</v>
      </c>
      <c r="Z22" s="577"/>
      <c r="AA22" s="578"/>
      <c r="AB22" s="579"/>
      <c r="AC22" s="584"/>
      <c r="AD22" s="580"/>
      <c r="AE22" s="580"/>
      <c r="AF22" s="580"/>
      <c r="AG22" s="580"/>
      <c r="AH22" s="580"/>
      <c r="AI22" s="581"/>
      <c r="AN22" s="548"/>
      <c r="AO22" s="612" t="str">
        <f>IFERROR(IF(Y22&lt;&gt;"",Y22,"blank"),"NA")</f>
        <v>Yes</v>
      </c>
      <c r="AP22" s="260" t="str">
        <f>IFERROR(IF(N22&lt;&gt;"",N22,"blank"),"NA")</f>
        <v>blank</v>
      </c>
      <c r="AQ22" s="548" t="str">
        <f t="shared" si="4"/>
        <v>有定金+无客戶送貨期</v>
      </c>
      <c r="AR22" s="260" t="str">
        <f t="shared" si="13"/>
        <v>Incoming_Stock_No_YAMAHA_Schedule</v>
      </c>
      <c r="AS22" s="260" t="str">
        <f t="shared" si="6"/>
        <v/>
      </c>
    </row>
    <row r="23" spans="1:45" ht="30.6" hidden="1">
      <c r="A23" s="565">
        <v>2040</v>
      </c>
      <c r="B23" s="588" t="s">
        <v>497</v>
      </c>
      <c r="C23" s="588" t="s">
        <v>212</v>
      </c>
      <c r="D23" s="589">
        <v>111482</v>
      </c>
      <c r="E23" s="590" t="s">
        <v>1727</v>
      </c>
      <c r="F23" s="584" t="s">
        <v>55</v>
      </c>
      <c r="G23" s="584" t="s">
        <v>25</v>
      </c>
      <c r="H23" s="584" t="s">
        <v>1728</v>
      </c>
      <c r="I23" s="580" t="s">
        <v>1864</v>
      </c>
      <c r="J23" s="580">
        <v>1</v>
      </c>
      <c r="K23" s="584"/>
      <c r="L23" s="591">
        <v>45345</v>
      </c>
      <c r="M23" s="585" t="s">
        <v>1747</v>
      </c>
      <c r="N23" s="576" t="s">
        <v>1746</v>
      </c>
      <c r="O23" s="570">
        <v>2024.1</v>
      </c>
      <c r="P23" s="585" t="str">
        <f>VLOOKUP(A23,'[1]Raw data'!$B:$BA,23,FALSE)</f>
        <v>USD</v>
      </c>
      <c r="Q23" s="584" t="str">
        <f>VLOOKUP(A23,'[1]Raw data'!$B:$Z,2,FALSE)</f>
        <v>C49SZX20230136JAL</v>
      </c>
      <c r="R23" s="584" t="str">
        <f>VLOOKUP(A23,'[1]Raw data'!$B:$Z,3,FALSE)</f>
        <v>TBS</v>
      </c>
      <c r="S23" s="584" t="str">
        <f>VLOOKUP(A23,'[1]Raw data'!$B:$Z,4,FALSE)</f>
        <v>YSM20R-2</v>
      </c>
      <c r="T23" s="584" t="str">
        <f>VLOOKUP(A23,'[1]Raw data'!$B:$Z,8,FALSE)</f>
        <v>L-&gt;R</v>
      </c>
      <c r="U23" s="584" t="str">
        <f>VLOOKUP(A23,'[1]Raw data'!$B:$Z,9,FALSE)</f>
        <v>MVC+cATS10+ANC</v>
      </c>
      <c r="V23" s="583" t="str">
        <f t="shared" si="11"/>
        <v>WRONG</v>
      </c>
      <c r="W23" s="592" t="str">
        <f>VLOOKUP(A23,'[1]Raw data'!$B:$AG,32,FALSE)</f>
        <v>CIF HK</v>
      </c>
      <c r="X23" s="591">
        <f>VLOOKUP(A23,'[1]Raw data'!$B:$BA,31,FALSE)</f>
        <v>45264</v>
      </c>
      <c r="Y23" s="584" t="str">
        <f>VLOOKUP(A23,'[1]Raw data'!$B:$AS,39,FALSE)</f>
        <v>Yes</v>
      </c>
      <c r="Z23" s="577"/>
      <c r="AA23" s="578"/>
      <c r="AB23" s="579"/>
      <c r="AC23" s="584"/>
      <c r="AD23" s="580">
        <v>301</v>
      </c>
      <c r="AE23" s="580">
        <v>20</v>
      </c>
      <c r="AF23" s="580"/>
      <c r="AG23" s="580"/>
      <c r="AH23" s="580"/>
      <c r="AI23" s="581"/>
      <c r="AN23" s="548"/>
      <c r="AO23" s="612" t="str">
        <f t="shared" ref="AO23:AO94" si="14">IFERROR(IF(Y23&lt;&gt;"",Y23,"blank"),"NA")</f>
        <v>Yes</v>
      </c>
      <c r="AP23" s="260" t="str">
        <f t="shared" si="12"/>
        <v>FEB 24</v>
      </c>
      <c r="AQ23" s="548" t="str">
        <f t="shared" si="4"/>
        <v>有定金+客戶送貨期</v>
      </c>
      <c r="AR23" s="260" t="str">
        <f t="shared" si="13"/>
        <v>Incoming_Stock_With_YAMAHA_Schedule</v>
      </c>
      <c r="AS23" s="260">
        <f t="shared" si="6"/>
        <v>45345</v>
      </c>
    </row>
    <row r="24" spans="1:45" hidden="1">
      <c r="A24" s="565">
        <v>2004</v>
      </c>
      <c r="B24" s="588" t="s">
        <v>497</v>
      </c>
      <c r="C24" s="588" t="s">
        <v>1472</v>
      </c>
      <c r="D24" s="589" t="s">
        <v>1741</v>
      </c>
      <c r="E24" s="590" t="s">
        <v>1745</v>
      </c>
      <c r="F24" s="584" t="s">
        <v>137</v>
      </c>
      <c r="G24" s="584" t="s">
        <v>25</v>
      </c>
      <c r="H24" s="584" t="s">
        <v>27</v>
      </c>
      <c r="I24" s="580" t="s">
        <v>1793</v>
      </c>
      <c r="J24" s="580">
        <v>1</v>
      </c>
      <c r="K24" s="584"/>
      <c r="L24" s="591">
        <v>45348</v>
      </c>
      <c r="M24" s="585" t="s">
        <v>1871</v>
      </c>
      <c r="N24" s="576" t="s">
        <v>1746</v>
      </c>
      <c r="O24" s="570">
        <v>2024.1</v>
      </c>
      <c r="P24" s="585" t="str">
        <f>VLOOKUP(A24,'[1]Raw data'!$B:$BA,23,FALSE)</f>
        <v>JPY</v>
      </c>
      <c r="Q24" s="584" t="str">
        <f>VLOOKUP(A24,'[1]Raw data'!$B:$Z,2,FALSE)</f>
        <v>C28SZX20230122SX</v>
      </c>
      <c r="R24" s="584" t="str">
        <f>VLOOKUP(A24,'[1]Raw data'!$B:$Z,3,FALSE)</f>
        <v>锐诚</v>
      </c>
      <c r="S24" s="584" t="str">
        <f>VLOOKUP(A24,'[1]Raw data'!$B:$Z,4,FALSE)</f>
        <v>YSi-V</v>
      </c>
      <c r="T24" s="584" t="str">
        <f>VLOOKUP(A24,'[1]Raw data'!$B:$Z,8,FALSE)</f>
        <v>L-&gt;R</v>
      </c>
      <c r="U24" s="584" t="str">
        <f>VLOOKUP(A24,'[1]Raw data'!$B:$Z,9,FALSE)</f>
        <v>No</v>
      </c>
      <c r="V24" s="583" t="str">
        <f>IF(G24&amp;H24=T24&amp;U24,"OK","WRONG")</f>
        <v>OK</v>
      </c>
      <c r="W24" s="572" t="str">
        <f>VLOOKUP(A24,'[1]Raw data'!$B:$AG,32,FALSE)</f>
        <v>DAP HZ</v>
      </c>
      <c r="X24" s="591">
        <f>VLOOKUP(A24,'[1]Raw data'!$B:$BA,31,FALSE)</f>
        <v>45236</v>
      </c>
      <c r="Y24" s="584" t="str">
        <f>VLOOKUP(A24,'[1]Raw data'!$B:$AS,39,FALSE)</f>
        <v>Yes</v>
      </c>
      <c r="Z24" s="577"/>
      <c r="AA24" s="578"/>
      <c r="AB24" s="579"/>
      <c r="AC24" s="584"/>
      <c r="AD24" s="580"/>
      <c r="AE24" s="580"/>
      <c r="AF24" s="580"/>
      <c r="AG24" s="580"/>
      <c r="AH24" s="580"/>
      <c r="AI24" s="581"/>
      <c r="AN24" s="548"/>
      <c r="AO24" s="612" t="str">
        <f t="shared" si="14"/>
        <v>Yes</v>
      </c>
      <c r="AP24" s="260" t="str">
        <f t="shared" si="12"/>
        <v>FEB 24</v>
      </c>
      <c r="AQ24" s="548" t="str">
        <f t="shared" si="4"/>
        <v>有定金+客戶送貨期</v>
      </c>
      <c r="AR24" s="260" t="str">
        <f t="shared" si="13"/>
        <v>Incoming_Stock_With_YAMAHA_Schedule</v>
      </c>
      <c r="AS24" s="260">
        <f t="shared" si="6"/>
        <v>45348</v>
      </c>
    </row>
    <row r="25" spans="1:45" hidden="1">
      <c r="A25" s="565">
        <v>2037</v>
      </c>
      <c r="B25" s="588" t="s">
        <v>497</v>
      </c>
      <c r="C25" s="588" t="s">
        <v>212</v>
      </c>
      <c r="D25" s="589">
        <v>111503</v>
      </c>
      <c r="E25" s="590" t="s">
        <v>1749</v>
      </c>
      <c r="F25" s="584" t="s">
        <v>55</v>
      </c>
      <c r="G25" s="584" t="s">
        <v>25</v>
      </c>
      <c r="H25" s="584" t="s">
        <v>241</v>
      </c>
      <c r="I25" s="580" t="s">
        <v>1882</v>
      </c>
      <c r="J25" s="580">
        <v>1</v>
      </c>
      <c r="K25" s="584"/>
      <c r="L25" s="591">
        <v>45348</v>
      </c>
      <c r="M25" s="585">
        <v>4.99E-2</v>
      </c>
      <c r="N25" s="576" t="s">
        <v>1746</v>
      </c>
      <c r="O25" s="570">
        <v>2024.1</v>
      </c>
      <c r="P25" s="585" t="str">
        <f>VLOOKUP(A25,'[1]Raw data'!$B:$BA,23,FALSE)</f>
        <v>RMB</v>
      </c>
      <c r="Q25" s="584" t="str">
        <f>VLOOKUP(A25,'[1]Raw data'!$B:$Z,2,FALSE)</f>
        <v>CG20231204009</v>
      </c>
      <c r="R25" s="584" t="str">
        <f>VLOOKUP(A25,'[1]Raw data'!$B:$Z,3,FALSE)</f>
        <v>徕芬</v>
      </c>
      <c r="S25" s="584" t="str">
        <f>VLOOKUP(A25,'[1]Raw data'!$B:$Z,4,FALSE)</f>
        <v>YSM20R-2</v>
      </c>
      <c r="T25" s="584" t="str">
        <f>VLOOKUP(A25,'[1]Raw data'!$B:$Z,8,FALSE)</f>
        <v>L-&gt;R</v>
      </c>
      <c r="U25" s="584" t="str">
        <f>VLOOKUP(A25,'[1]Raw data'!$B:$Z,9,FALSE)</f>
        <v>cATS10+MVC+Feeder Carriage</v>
      </c>
      <c r="V25" s="583" t="str">
        <f>IF(G25&amp;H25=T25&amp;U25,"OK","WRONG")</f>
        <v>OK</v>
      </c>
      <c r="W25" s="592" t="str">
        <f>VLOOKUP(A25,'[1]Raw data'!$B:$AG,32,FALSE)</f>
        <v>DDP DG</v>
      </c>
      <c r="X25" s="591">
        <f>VLOOKUP(A25,'[1]Raw data'!$B:$BA,31,FALSE)</f>
        <v>45261</v>
      </c>
      <c r="Y25" s="584" t="str">
        <f>VLOOKUP(A25,'[1]Raw data'!$B:$AS,39,FALSE)</f>
        <v>Yes</v>
      </c>
      <c r="Z25" s="577"/>
      <c r="AA25" s="578"/>
      <c r="AB25" s="579"/>
      <c r="AC25" s="584"/>
      <c r="AD25" s="580">
        <v>301</v>
      </c>
      <c r="AE25" s="580">
        <v>10</v>
      </c>
      <c r="AF25" s="580">
        <v>303</v>
      </c>
      <c r="AG25" s="580">
        <v>10</v>
      </c>
      <c r="AH25" s="580"/>
      <c r="AI25" s="581"/>
      <c r="AN25" s="548"/>
      <c r="AO25" s="612" t="str">
        <f>IFERROR(IF(Y25&lt;&gt;"",Y25,"blank"),"NA")</f>
        <v>Yes</v>
      </c>
      <c r="AP25" s="260" t="str">
        <f>IFERROR(IF(N25&lt;&gt;"",N25,"blank"),"NA")</f>
        <v>FEB 24</v>
      </c>
      <c r="AQ25" s="548" t="str">
        <f t="shared" si="4"/>
        <v>有定金+客戶送貨期</v>
      </c>
      <c r="AR25" s="260" t="str">
        <f t="shared" si="13"/>
        <v>Incoming_Stock_With_YAMAHA_Schedule</v>
      </c>
      <c r="AS25" s="260">
        <f t="shared" si="6"/>
        <v>45348</v>
      </c>
    </row>
    <row r="26" spans="1:45" hidden="1">
      <c r="A26" s="565">
        <v>2038</v>
      </c>
      <c r="B26" s="588" t="s">
        <v>497</v>
      </c>
      <c r="C26" s="588" t="s">
        <v>212</v>
      </c>
      <c r="D26" s="589">
        <v>111503</v>
      </c>
      <c r="E26" s="590" t="s">
        <v>1749</v>
      </c>
      <c r="F26" s="584" t="s">
        <v>55</v>
      </c>
      <c r="G26" s="584" t="s">
        <v>25</v>
      </c>
      <c r="H26" s="584" t="s">
        <v>241</v>
      </c>
      <c r="I26" s="580" t="s">
        <v>1883</v>
      </c>
      <c r="J26" s="580">
        <v>1</v>
      </c>
      <c r="K26" s="584"/>
      <c r="L26" s="591">
        <v>45348</v>
      </c>
      <c r="M26" s="585">
        <v>4.99E-2</v>
      </c>
      <c r="N26" s="576" t="s">
        <v>1746</v>
      </c>
      <c r="O26" s="570">
        <v>2024.2</v>
      </c>
      <c r="P26" s="585" t="str">
        <f>VLOOKUP(A26,'[1]Raw data'!$B:$BA,23,FALSE)</f>
        <v>RMB</v>
      </c>
      <c r="Q26" s="584" t="str">
        <f>VLOOKUP(A26,'[1]Raw data'!$B:$Z,2,FALSE)</f>
        <v>CG20231204009</v>
      </c>
      <c r="R26" s="584" t="str">
        <f>VLOOKUP(A26,'[1]Raw data'!$B:$Z,3,FALSE)</f>
        <v>徕芬</v>
      </c>
      <c r="S26" s="584" t="str">
        <f>VLOOKUP(A26,'[1]Raw data'!$B:$Z,4,FALSE)</f>
        <v>YSM20R-2</v>
      </c>
      <c r="T26" s="584" t="str">
        <f>VLOOKUP(A26,'[1]Raw data'!$B:$Z,8,FALSE)</f>
        <v>L-&gt;R</v>
      </c>
      <c r="U26" s="584" t="str">
        <f>VLOOKUP(A26,'[1]Raw data'!$B:$Z,9,FALSE)</f>
        <v>cATS10+MVC+Feeder Carriage</v>
      </c>
      <c r="V26" s="583" t="str">
        <f>IF(G26&amp;H26=T26&amp;U26,"OK","WRONG")</f>
        <v>OK</v>
      </c>
      <c r="W26" s="592" t="str">
        <f>VLOOKUP(A26,'[1]Raw data'!$B:$AG,32,FALSE)</f>
        <v>DDP DG</v>
      </c>
      <c r="X26" s="591">
        <f>VLOOKUP(A26,'[1]Raw data'!$B:$BA,31,FALSE)</f>
        <v>45261</v>
      </c>
      <c r="Y26" s="584" t="str">
        <f>VLOOKUP(A26,'[1]Raw data'!$B:$AS,39,FALSE)</f>
        <v>Yes</v>
      </c>
      <c r="Z26" s="577"/>
      <c r="AA26" s="578"/>
      <c r="AB26" s="579"/>
      <c r="AC26" s="584"/>
      <c r="AD26" s="580">
        <v>301</v>
      </c>
      <c r="AE26" s="580">
        <v>10</v>
      </c>
      <c r="AF26" s="580">
        <v>303</v>
      </c>
      <c r="AG26" s="580">
        <v>10</v>
      </c>
      <c r="AH26" s="580"/>
      <c r="AI26" s="581"/>
      <c r="AN26" s="548"/>
      <c r="AO26" s="612" t="str">
        <f>IFERROR(IF(Y26&lt;&gt;"",Y26,"blank"),"NA")</f>
        <v>Yes</v>
      </c>
      <c r="AP26" s="260" t="str">
        <f>IFERROR(IF(N26&lt;&gt;"",N26,"blank"),"NA")</f>
        <v>FEB 24</v>
      </c>
      <c r="AQ26" s="548" t="str">
        <f t="shared" si="4"/>
        <v>有定金+客戶送貨期</v>
      </c>
      <c r="AR26" s="260" t="str">
        <f t="shared" si="13"/>
        <v>Incoming_Stock_With_YAMAHA_Schedule</v>
      </c>
      <c r="AS26" s="260">
        <f t="shared" si="6"/>
        <v>45348</v>
      </c>
    </row>
    <row r="27" spans="1:45" hidden="1">
      <c r="B27" s="588" t="s">
        <v>497</v>
      </c>
      <c r="C27" s="588" t="s">
        <v>1472</v>
      </c>
      <c r="D27" s="589" t="s">
        <v>1743</v>
      </c>
      <c r="E27" s="590" t="s">
        <v>167</v>
      </c>
      <c r="F27" s="584" t="s">
        <v>137</v>
      </c>
      <c r="G27" s="584" t="s">
        <v>25</v>
      </c>
      <c r="H27" s="584" t="s">
        <v>27</v>
      </c>
      <c r="I27" s="580"/>
      <c r="J27" s="580">
        <v>1</v>
      </c>
      <c r="K27" s="584"/>
      <c r="L27" s="591">
        <v>45350</v>
      </c>
      <c r="M27" s="585"/>
      <c r="N27" s="576"/>
      <c r="O27" s="587"/>
      <c r="P27" s="585" t="e">
        <f>VLOOKUP(A27,'[1]Raw data'!$B:$BA,23,FALSE)</f>
        <v>#N/A</v>
      </c>
      <c r="Q27" s="584" t="e">
        <f>VLOOKUP(A27,'[1]Raw data'!$B:$Z,2,FALSE)</f>
        <v>#N/A</v>
      </c>
      <c r="R27" s="584" t="e">
        <f>VLOOKUP(A27,'[1]Raw data'!$B:$Z,3,FALSE)</f>
        <v>#N/A</v>
      </c>
      <c r="S27" s="584" t="e">
        <f>VLOOKUP(A27,'[1]Raw data'!$B:$Z,4,FALSE)</f>
        <v>#N/A</v>
      </c>
      <c r="T27" s="584" t="e">
        <f>VLOOKUP(A27,'[1]Raw data'!$B:$Z,8,FALSE)</f>
        <v>#N/A</v>
      </c>
      <c r="U27" s="584" t="e">
        <f>VLOOKUP(A27,'[1]Raw data'!$B:$Z,9,FALSE)</f>
        <v>#N/A</v>
      </c>
      <c r="V27" s="583" t="e">
        <f>IF(G27&amp;H27=T27&amp;U27,"OK","WRONG")</f>
        <v>#N/A</v>
      </c>
      <c r="W27" s="572" t="e">
        <f>VLOOKUP(A27,'[1]Raw data'!$B:$AG,32,FALSE)</f>
        <v>#N/A</v>
      </c>
      <c r="X27" s="591" t="e">
        <f>VLOOKUP(A27,'[1]Raw data'!$B:$BA,31,FALSE)</f>
        <v>#N/A</v>
      </c>
      <c r="Y27" s="584" t="e">
        <f>VLOOKUP(A27,'[1]Raw data'!$B:$AS,39,FALSE)</f>
        <v>#N/A</v>
      </c>
      <c r="Z27" s="577"/>
      <c r="AA27" s="578"/>
      <c r="AB27" s="579"/>
      <c r="AC27" s="584"/>
      <c r="AD27" s="580"/>
      <c r="AE27" s="580"/>
      <c r="AF27" s="580"/>
      <c r="AG27" s="580"/>
      <c r="AH27" s="580"/>
      <c r="AI27" s="581"/>
      <c r="AN27" s="548"/>
      <c r="AO27" s="612" t="str">
        <f t="shared" si="14"/>
        <v>NA</v>
      </c>
      <c r="AP27" s="260" t="str">
        <f t="shared" si="12"/>
        <v>blank</v>
      </c>
      <c r="AQ27" s="548" t="str">
        <f t="shared" si="4"/>
        <v>无定金+无客戶送貨期</v>
      </c>
      <c r="AR27" s="260" t="str">
        <f t="shared" si="13"/>
        <v>Incoming_Stock_With_YAMAHA_Schedule</v>
      </c>
      <c r="AS27" s="260">
        <f t="shared" si="6"/>
        <v>45350</v>
      </c>
    </row>
    <row r="28" spans="1:45" hidden="1">
      <c r="B28" s="588" t="s">
        <v>497</v>
      </c>
      <c r="C28" s="588" t="s">
        <v>1472</v>
      </c>
      <c r="D28" s="589" t="s">
        <v>1743</v>
      </c>
      <c r="E28" s="590" t="s">
        <v>167</v>
      </c>
      <c r="F28" s="584" t="s">
        <v>137</v>
      </c>
      <c r="G28" s="584" t="s">
        <v>25</v>
      </c>
      <c r="H28" s="584" t="s">
        <v>27</v>
      </c>
      <c r="I28" s="580"/>
      <c r="J28" s="580">
        <v>1</v>
      </c>
      <c r="K28" s="584"/>
      <c r="L28" s="591">
        <v>45350</v>
      </c>
      <c r="M28" s="585"/>
      <c r="N28" s="576"/>
      <c r="O28" s="587"/>
      <c r="P28" s="585" t="e">
        <f>VLOOKUP(A28,'[1]Raw data'!$B:$BA,23,FALSE)</f>
        <v>#N/A</v>
      </c>
      <c r="Q28" s="584" t="e">
        <f>VLOOKUP(A28,'[1]Raw data'!$B:$Z,2,FALSE)</f>
        <v>#N/A</v>
      </c>
      <c r="R28" s="584" t="e">
        <f>VLOOKUP(A28,'[1]Raw data'!$B:$Z,3,FALSE)</f>
        <v>#N/A</v>
      </c>
      <c r="S28" s="584" t="e">
        <f>VLOOKUP(A28,'[1]Raw data'!$B:$Z,4,FALSE)</f>
        <v>#N/A</v>
      </c>
      <c r="T28" s="584" t="e">
        <f>VLOOKUP(A28,'[1]Raw data'!$B:$Z,8,FALSE)</f>
        <v>#N/A</v>
      </c>
      <c r="U28" s="584" t="e">
        <f>VLOOKUP(A28,'[1]Raw data'!$B:$Z,9,FALSE)</f>
        <v>#N/A</v>
      </c>
      <c r="V28" s="583" t="e">
        <f>IF(G28&amp;H28=T28&amp;U28,"OK","WRONG")</f>
        <v>#N/A</v>
      </c>
      <c r="W28" s="572" t="e">
        <f>VLOOKUP(A28,'[1]Raw data'!$B:$AG,32,FALSE)</f>
        <v>#N/A</v>
      </c>
      <c r="X28" s="591" t="e">
        <f>VLOOKUP(A28,'[1]Raw data'!$B:$BA,31,FALSE)</f>
        <v>#N/A</v>
      </c>
      <c r="Y28" s="584" t="e">
        <f>VLOOKUP(A28,'[1]Raw data'!$B:$AS,39,FALSE)</f>
        <v>#N/A</v>
      </c>
      <c r="Z28" s="577"/>
      <c r="AA28" s="578"/>
      <c r="AB28" s="579"/>
      <c r="AC28" s="584"/>
      <c r="AD28" s="580"/>
      <c r="AE28" s="580"/>
      <c r="AF28" s="580"/>
      <c r="AG28" s="580"/>
      <c r="AH28" s="580"/>
      <c r="AI28" s="581"/>
      <c r="AN28" s="548"/>
      <c r="AO28" s="612" t="str">
        <f t="shared" si="14"/>
        <v>NA</v>
      </c>
      <c r="AP28" s="260" t="str">
        <f t="shared" si="12"/>
        <v>blank</v>
      </c>
      <c r="AQ28" s="548" t="str">
        <f t="shared" si="4"/>
        <v>无定金+无客戶送貨期</v>
      </c>
      <c r="AR28" s="260" t="str">
        <f t="shared" si="13"/>
        <v>Incoming_Stock_With_YAMAHA_Schedule</v>
      </c>
      <c r="AS28" s="260">
        <f t="shared" si="6"/>
        <v>45350</v>
      </c>
    </row>
    <row r="29" spans="1:45" hidden="1">
      <c r="A29" s="565">
        <v>2096</v>
      </c>
      <c r="B29" s="588" t="s">
        <v>497</v>
      </c>
      <c r="C29" s="588" t="s">
        <v>212</v>
      </c>
      <c r="D29" s="589">
        <v>111521</v>
      </c>
      <c r="E29" s="593" t="s">
        <v>167</v>
      </c>
      <c r="F29" s="584" t="s">
        <v>18</v>
      </c>
      <c r="G29" s="584" t="s">
        <v>19</v>
      </c>
      <c r="H29" s="584" t="s">
        <v>20</v>
      </c>
      <c r="I29" s="580"/>
      <c r="J29" s="580">
        <v>1</v>
      </c>
      <c r="K29" s="584"/>
      <c r="L29" s="591">
        <v>45355</v>
      </c>
      <c r="M29" s="585">
        <v>4.9299999999999997E-2</v>
      </c>
      <c r="N29" s="576" t="s">
        <v>1840</v>
      </c>
      <c r="O29" s="570"/>
      <c r="P29" s="585" t="str">
        <f>VLOOKUP(A29,'[1]Raw data'!$B:$BA,23,FALSE)</f>
        <v>USD</v>
      </c>
      <c r="Q29" s="584" t="str">
        <f>VLOOKUP(A29,'[1]Raw data'!$B:$Z,2,FALSE)</f>
        <v>C49SZX20240027JL/4600004199</v>
      </c>
      <c r="R29" s="584" t="str">
        <f>VLOOKUP(A29,'[1]Raw data'!$B:$Z,3,FALSE)</f>
        <v>高伟</v>
      </c>
      <c r="S29" s="584" t="str">
        <f>VLOOKUP(A29,'[1]Raw data'!$B:$Z,4,FALSE)</f>
        <v>YSM10</v>
      </c>
      <c r="T29" s="584" t="str">
        <f>VLOOKUP(A29,'[1]Raw data'!$B:$Z,8,FALSE)</f>
        <v>L-&gt;R</v>
      </c>
      <c r="U29" s="584" t="str">
        <f>VLOOKUP(A29,'[1]Raw data'!$B:$Z,9,FALSE)</f>
        <v>MVC+ATS15</v>
      </c>
      <c r="V29" s="583" t="str">
        <f t="shared" ref="V29:V30" si="15">IF(G29&amp;H29=T29&amp;U29,"OK","WRONG")</f>
        <v>WRONG</v>
      </c>
      <c r="W29" s="592" t="str">
        <f>VLOOKUP(A29,'[1]Raw data'!$B:$AG,32,FALSE)</f>
        <v>CIF HK</v>
      </c>
      <c r="X29" s="591">
        <f>VLOOKUP(A29,'[1]Raw data'!$B:$BA,31,FALSE)</f>
        <v>45323</v>
      </c>
      <c r="Y29" s="584" t="str">
        <f>VLOOKUP(A29,'[1]Raw data'!$B:$AS,39,FALSE)</f>
        <v>Yes</v>
      </c>
      <c r="Z29" s="577"/>
      <c r="AA29" s="578"/>
      <c r="AB29" s="579"/>
      <c r="AC29" s="584"/>
      <c r="AD29" s="586">
        <v>301</v>
      </c>
      <c r="AE29" s="586">
        <v>5</v>
      </c>
      <c r="AF29" s="586">
        <v>303</v>
      </c>
      <c r="AG29" s="586">
        <v>5</v>
      </c>
      <c r="AH29" s="580"/>
      <c r="AI29" s="581"/>
      <c r="AN29" s="548"/>
      <c r="AO29" s="612" t="str">
        <f t="shared" si="14"/>
        <v>Yes</v>
      </c>
      <c r="AP29" s="260" t="str">
        <f t="shared" si="12"/>
        <v>MAR 24</v>
      </c>
      <c r="AQ29" s="548" t="str">
        <f t="shared" si="4"/>
        <v>有定金+客戶送貨期</v>
      </c>
      <c r="AR29" s="260" t="str">
        <f t="shared" si="13"/>
        <v>Incoming_Stock_With_YAMAHA_Schedule</v>
      </c>
      <c r="AS29" s="260">
        <f t="shared" si="6"/>
        <v>45355</v>
      </c>
    </row>
    <row r="30" spans="1:45" hidden="1">
      <c r="A30" s="565">
        <v>2065</v>
      </c>
      <c r="B30" s="588" t="s">
        <v>497</v>
      </c>
      <c r="C30" s="588" t="s">
        <v>212</v>
      </c>
      <c r="D30" s="589">
        <v>111521</v>
      </c>
      <c r="E30" s="593" t="s">
        <v>167</v>
      </c>
      <c r="F30" s="584" t="s">
        <v>18</v>
      </c>
      <c r="G30" s="584" t="s">
        <v>19</v>
      </c>
      <c r="H30" s="584" t="s">
        <v>20</v>
      </c>
      <c r="I30" s="580"/>
      <c r="J30" s="580">
        <v>1</v>
      </c>
      <c r="K30" s="584"/>
      <c r="L30" s="591">
        <v>45355</v>
      </c>
      <c r="M30" s="585">
        <v>4.9299999999999997E-2</v>
      </c>
      <c r="N30" s="576" t="s">
        <v>1703</v>
      </c>
      <c r="O30" s="570"/>
      <c r="P30" s="585" t="str">
        <f>VLOOKUP(A30,'[1]Raw data'!$B:$BA,23,FALSE)</f>
        <v>RMB</v>
      </c>
      <c r="Q30" s="584" t="str">
        <f>VLOOKUP(A30,'[1]Raw data'!$B:$Z,2,FALSE)</f>
        <v>C49SZX20240007MZ</v>
      </c>
      <c r="R30" s="584" t="str">
        <f>VLOOKUP(A30,'[1]Raw data'!$B:$Z,3,FALSE)</f>
        <v>飞霖</v>
      </c>
      <c r="S30" s="584" t="str">
        <f>VLOOKUP(A30,'[1]Raw data'!$B:$Z,4,FALSE)</f>
        <v>YSM10</v>
      </c>
      <c r="T30" s="584" t="str">
        <f>VLOOKUP(A30,'[1]Raw data'!$B:$Z,8,FALSE)</f>
        <v>L-&gt;R</v>
      </c>
      <c r="U30" s="584" t="str">
        <f>VLOOKUP(A30,'[1]Raw data'!$B:$Z,9,FALSE)</f>
        <v>MVC+ATS15</v>
      </c>
      <c r="V30" s="583" t="str">
        <f t="shared" si="15"/>
        <v>WRONG</v>
      </c>
      <c r="W30" s="592" t="str">
        <f>VLOOKUP(A30,'[1]Raw data'!$B:$AG,32,FALSE)</f>
        <v>DDP DG</v>
      </c>
      <c r="X30" s="591">
        <f>VLOOKUP(A30,'[1]Raw data'!$B:$BA,31,FALSE)</f>
        <v>45308</v>
      </c>
      <c r="Y30" s="584" t="str">
        <f>VLOOKUP(A30,'[1]Raw data'!$B:$AS,39,FALSE)</f>
        <v>No</v>
      </c>
      <c r="Z30" s="577"/>
      <c r="AA30" s="578"/>
      <c r="AB30" s="579"/>
      <c r="AC30" s="584"/>
      <c r="AD30" s="586">
        <v>301</v>
      </c>
      <c r="AE30" s="586">
        <v>5</v>
      </c>
      <c r="AF30" s="586">
        <v>303</v>
      </c>
      <c r="AG30" s="586">
        <v>5</v>
      </c>
      <c r="AH30" s="580"/>
      <c r="AI30" s="581"/>
      <c r="AN30" s="548"/>
      <c r="AO30" s="612" t="str">
        <f t="shared" si="14"/>
        <v>No</v>
      </c>
      <c r="AP30" s="260" t="str">
        <f t="shared" si="12"/>
        <v>TBA.</v>
      </c>
      <c r="AQ30" s="548" t="str">
        <f t="shared" si="4"/>
        <v>无定金+有客戶送貨期</v>
      </c>
      <c r="AR30" s="260" t="str">
        <f t="shared" si="13"/>
        <v>Incoming_Stock_With_YAMAHA_Schedule</v>
      </c>
      <c r="AS30" s="260">
        <f t="shared" si="6"/>
        <v>45355</v>
      </c>
    </row>
    <row r="31" spans="1:45" hidden="1">
      <c r="A31" s="565">
        <v>2062</v>
      </c>
      <c r="B31" s="588" t="s">
        <v>497</v>
      </c>
      <c r="C31" s="588" t="s">
        <v>212</v>
      </c>
      <c r="D31" s="589">
        <v>111521</v>
      </c>
      <c r="E31" s="593" t="s">
        <v>167</v>
      </c>
      <c r="F31" s="584" t="s">
        <v>18</v>
      </c>
      <c r="G31" s="584" t="s">
        <v>19</v>
      </c>
      <c r="H31" s="584" t="s">
        <v>27</v>
      </c>
      <c r="I31" s="580"/>
      <c r="J31" s="580">
        <v>1</v>
      </c>
      <c r="K31" s="584"/>
      <c r="L31" s="591">
        <v>45355</v>
      </c>
      <c r="M31" s="585">
        <v>4.9299999999999997E-2</v>
      </c>
      <c r="N31" s="576" t="s">
        <v>1840</v>
      </c>
      <c r="O31" s="570"/>
      <c r="P31" s="585" t="str">
        <f>VLOOKUP(A31,'[1]Raw data'!$B:$BA,23,FALSE)</f>
        <v>RMB</v>
      </c>
      <c r="Q31" s="584" t="str">
        <f>VLOOKUP(A31,'[1]Raw data'!$B:$Z,2,FALSE)</f>
        <v>C49SZX20240006SQ</v>
      </c>
      <c r="R31" s="584" t="str">
        <f>VLOOKUP(A31,'[1]Raw data'!$B:$Z,3,FALSE)</f>
        <v>中孟</v>
      </c>
      <c r="S31" s="584" t="str">
        <f>VLOOKUP(A31,'[1]Raw data'!$B:$Z,4,FALSE)</f>
        <v>YSM10</v>
      </c>
      <c r="T31" s="584" t="str">
        <f>VLOOKUP(A31,'[1]Raw data'!$B:$Z,8,FALSE)</f>
        <v>L-&gt;R</v>
      </c>
      <c r="U31" s="584" t="str">
        <f>VLOOKUP(A31,'[1]Raw data'!$B:$Z,9,FALSE)</f>
        <v>MVC</v>
      </c>
      <c r="V31" s="583" t="str">
        <f t="shared" ref="V31:V35" si="16">IF(G31&amp;H31=T31&amp;U31,"OK","WRONG")</f>
        <v>WRONG</v>
      </c>
      <c r="W31" s="592" t="str">
        <f>VLOOKUP(A31,'[1]Raw data'!$B:$AG,32,FALSE)</f>
        <v>DDP GZ</v>
      </c>
      <c r="X31" s="591">
        <f>VLOOKUP(A31,'[1]Raw data'!$B:$BA,31,FALSE)</f>
        <v>45307</v>
      </c>
      <c r="Y31" s="584" t="str">
        <f>VLOOKUP(A31,'[1]Raw data'!$B:$AS,39,FALSE)</f>
        <v>Yes</v>
      </c>
      <c r="Z31" s="577"/>
      <c r="AA31" s="578"/>
      <c r="AB31" s="579"/>
      <c r="AC31" s="584"/>
      <c r="AD31" s="586">
        <v>301</v>
      </c>
      <c r="AE31" s="586">
        <v>10</v>
      </c>
      <c r="AF31" s="586"/>
      <c r="AG31" s="586"/>
      <c r="AH31" s="580"/>
      <c r="AI31" s="581"/>
      <c r="AN31" s="548"/>
      <c r="AO31" s="612" t="str">
        <f t="shared" si="14"/>
        <v>Yes</v>
      </c>
      <c r="AP31" s="260" t="str">
        <f t="shared" si="12"/>
        <v>MAR 24</v>
      </c>
      <c r="AQ31" s="548" t="str">
        <f t="shared" si="4"/>
        <v>有定金+客戶送貨期</v>
      </c>
      <c r="AR31" s="260" t="str">
        <f t="shared" si="13"/>
        <v>Incoming_Stock_With_YAMAHA_Schedule</v>
      </c>
      <c r="AS31" s="260">
        <f t="shared" si="6"/>
        <v>45355</v>
      </c>
    </row>
    <row r="32" spans="1:45" hidden="1">
      <c r="B32" s="588" t="s">
        <v>497</v>
      </c>
      <c r="C32" s="588" t="s">
        <v>212</v>
      </c>
      <c r="D32" s="589">
        <v>111521</v>
      </c>
      <c r="E32" s="593" t="s">
        <v>167</v>
      </c>
      <c r="F32" s="584" t="s">
        <v>18</v>
      </c>
      <c r="G32" s="584" t="s">
        <v>19</v>
      </c>
      <c r="H32" s="584" t="s">
        <v>27</v>
      </c>
      <c r="I32" s="580"/>
      <c r="J32" s="580">
        <v>1</v>
      </c>
      <c r="K32" s="584"/>
      <c r="L32" s="591">
        <v>45355</v>
      </c>
      <c r="M32" s="585">
        <v>4.9299999999999997E-2</v>
      </c>
      <c r="N32" s="576"/>
      <c r="O32" s="570"/>
      <c r="P32" s="585" t="e">
        <f>VLOOKUP(A32,'[1]Raw data'!$B:$BA,23,FALSE)</f>
        <v>#N/A</v>
      </c>
      <c r="Q32" s="584" t="e">
        <f>VLOOKUP(A32,'[1]Raw data'!$B:$Z,2,FALSE)</f>
        <v>#N/A</v>
      </c>
      <c r="R32" s="584" t="e">
        <f>VLOOKUP(A32,'[1]Raw data'!$B:$Z,3,FALSE)</f>
        <v>#N/A</v>
      </c>
      <c r="S32" s="584" t="e">
        <f>VLOOKUP(A32,'[1]Raw data'!$B:$Z,4,FALSE)</f>
        <v>#N/A</v>
      </c>
      <c r="T32" s="584" t="e">
        <f>VLOOKUP(A32,'[1]Raw data'!$B:$Z,8,FALSE)</f>
        <v>#N/A</v>
      </c>
      <c r="U32" s="584" t="e">
        <f>VLOOKUP(A32,'[1]Raw data'!$B:$Z,9,FALSE)</f>
        <v>#N/A</v>
      </c>
      <c r="V32" s="583" t="e">
        <f t="shared" si="16"/>
        <v>#N/A</v>
      </c>
      <c r="W32" s="592" t="e">
        <f>VLOOKUP(A32,'[1]Raw data'!$B:$AG,32,FALSE)</f>
        <v>#N/A</v>
      </c>
      <c r="X32" s="591" t="e">
        <f>VLOOKUP(A32,'[1]Raw data'!$B:$BA,31,FALSE)</f>
        <v>#N/A</v>
      </c>
      <c r="Y32" s="584" t="e">
        <f>VLOOKUP(A32,'[1]Raw data'!$B:$AS,39,FALSE)</f>
        <v>#N/A</v>
      </c>
      <c r="Z32" s="577"/>
      <c r="AA32" s="578"/>
      <c r="AB32" s="579"/>
      <c r="AC32" s="584"/>
      <c r="AD32" s="586">
        <v>301</v>
      </c>
      <c r="AE32" s="586">
        <v>5</v>
      </c>
      <c r="AF32" s="586">
        <v>303</v>
      </c>
      <c r="AG32" s="586">
        <v>5</v>
      </c>
      <c r="AH32" s="580"/>
      <c r="AI32" s="581"/>
      <c r="AN32" s="548"/>
      <c r="AO32" s="612" t="str">
        <f t="shared" si="14"/>
        <v>NA</v>
      </c>
      <c r="AP32" s="260" t="str">
        <f t="shared" si="12"/>
        <v>blank</v>
      </c>
      <c r="AQ32" s="548" t="str">
        <f t="shared" si="4"/>
        <v>无定金+无客戶送貨期</v>
      </c>
      <c r="AR32" s="260" t="str">
        <f t="shared" si="13"/>
        <v>Incoming_Stock_With_YAMAHA_Schedule</v>
      </c>
      <c r="AS32" s="260">
        <f t="shared" si="6"/>
        <v>45355</v>
      </c>
    </row>
    <row r="33" spans="1:45" hidden="1">
      <c r="A33" s="565">
        <v>1924</v>
      </c>
      <c r="B33" s="588" t="s">
        <v>497</v>
      </c>
      <c r="C33" s="588" t="s">
        <v>212</v>
      </c>
      <c r="D33" s="589" t="s">
        <v>1838</v>
      </c>
      <c r="E33" s="593" t="s">
        <v>167</v>
      </c>
      <c r="F33" s="584" t="s">
        <v>18</v>
      </c>
      <c r="G33" s="584" t="s">
        <v>19</v>
      </c>
      <c r="H33" s="584" t="s">
        <v>27</v>
      </c>
      <c r="I33" s="580"/>
      <c r="J33" s="580">
        <v>1</v>
      </c>
      <c r="K33" s="584"/>
      <c r="L33" s="591">
        <v>45355</v>
      </c>
      <c r="M33" s="585"/>
      <c r="N33" s="576" t="s">
        <v>1840</v>
      </c>
      <c r="O33" s="570"/>
      <c r="P33" s="585" t="str">
        <f>VLOOKUP(A33,'[1]Raw data'!$B:$BA,23,FALSE)</f>
        <v>JPY</v>
      </c>
      <c r="Q33" s="584" t="str">
        <f>VLOOKUP(A33,'[1]Raw data'!$B:$Z,2,FALSE)</f>
        <v>C49SZX20230068JY</v>
      </c>
      <c r="R33" s="584" t="str">
        <f>VLOOKUP(A33,'[1]Raw data'!$B:$Z,3,FALSE)</f>
        <v>海凌科</v>
      </c>
      <c r="S33" s="584" t="str">
        <f>VLOOKUP(A33,'[1]Raw data'!$B:$Z,4,FALSE)</f>
        <v>YSM10</v>
      </c>
      <c r="T33" s="584" t="str">
        <f>VLOOKUP(A33,'[1]Raw data'!$B:$Z,8,FALSE)</f>
        <v>L-&gt;R</v>
      </c>
      <c r="U33" s="584" t="str">
        <f>VLOOKUP(A33,'[1]Raw data'!$B:$Z,9,FALSE)</f>
        <v>No</v>
      </c>
      <c r="V33" s="583" t="str">
        <f t="shared" si="16"/>
        <v>WRONG</v>
      </c>
      <c r="W33" s="592" t="str">
        <f>VLOOKUP(A33,'[1]Raw data'!$B:$AG,32,FALSE)</f>
        <v>DAP LS</v>
      </c>
      <c r="X33" s="591">
        <f>VLOOKUP(A33,'[1]Raw data'!$B:$BA,31,FALSE)</f>
        <v>45066</v>
      </c>
      <c r="Y33" s="584" t="str">
        <f>VLOOKUP(A33,'[1]Raw data'!$B:$AS,39,FALSE)</f>
        <v>Yes</v>
      </c>
      <c r="Z33" s="577"/>
      <c r="AA33" s="578"/>
      <c r="AB33" s="579"/>
      <c r="AC33" s="584"/>
      <c r="AD33" s="586">
        <v>301</v>
      </c>
      <c r="AE33" s="586">
        <v>5</v>
      </c>
      <c r="AF33" s="586">
        <v>303</v>
      </c>
      <c r="AG33" s="586">
        <v>5</v>
      </c>
      <c r="AH33" s="580"/>
      <c r="AI33" s="581"/>
      <c r="AN33" s="548"/>
      <c r="AO33" s="612" t="str">
        <f t="shared" si="14"/>
        <v>Yes</v>
      </c>
      <c r="AP33" s="260" t="str">
        <f t="shared" si="12"/>
        <v>MAR 24</v>
      </c>
      <c r="AQ33" s="548" t="str">
        <f t="shared" si="4"/>
        <v>有定金+客戶送貨期</v>
      </c>
      <c r="AR33" s="260" t="str">
        <f t="shared" si="13"/>
        <v>Incoming_Stock_With_YAMAHA_Schedule</v>
      </c>
      <c r="AS33" s="260">
        <f t="shared" si="6"/>
        <v>45355</v>
      </c>
    </row>
    <row r="34" spans="1:45" hidden="1">
      <c r="A34" s="565">
        <v>1925</v>
      </c>
      <c r="B34" s="588" t="s">
        <v>497</v>
      </c>
      <c r="C34" s="588" t="s">
        <v>212</v>
      </c>
      <c r="D34" s="589" t="s">
        <v>1838</v>
      </c>
      <c r="E34" s="593" t="s">
        <v>167</v>
      </c>
      <c r="F34" s="584" t="s">
        <v>18</v>
      </c>
      <c r="G34" s="584" t="s">
        <v>19</v>
      </c>
      <c r="H34" s="584" t="s">
        <v>27</v>
      </c>
      <c r="I34" s="580"/>
      <c r="J34" s="580">
        <v>1</v>
      </c>
      <c r="K34" s="584"/>
      <c r="L34" s="591">
        <v>45355</v>
      </c>
      <c r="M34" s="585"/>
      <c r="N34" s="576" t="s">
        <v>1840</v>
      </c>
      <c r="O34" s="570"/>
      <c r="P34" s="585" t="str">
        <f>VLOOKUP(A34,'[1]Raw data'!$B:$BA,23,FALSE)</f>
        <v>JPY</v>
      </c>
      <c r="Q34" s="584" t="str">
        <f>VLOOKUP(A34,'[1]Raw data'!$B:$Z,2,FALSE)</f>
        <v>C49SZX20230068JY</v>
      </c>
      <c r="R34" s="584" t="str">
        <f>VLOOKUP(A34,'[1]Raw data'!$B:$Z,3,FALSE)</f>
        <v>海凌科</v>
      </c>
      <c r="S34" s="584" t="str">
        <f>VLOOKUP(A34,'[1]Raw data'!$B:$Z,4,FALSE)</f>
        <v>YSM10</v>
      </c>
      <c r="T34" s="584" t="str">
        <f>VLOOKUP(A34,'[1]Raw data'!$B:$Z,8,FALSE)</f>
        <v>R-&gt;L</v>
      </c>
      <c r="U34" s="584" t="str">
        <f>VLOOKUP(A34,'[1]Raw data'!$B:$Z,9,FALSE)</f>
        <v>No</v>
      </c>
      <c r="V34" s="583" t="str">
        <f t="shared" si="16"/>
        <v>OK</v>
      </c>
      <c r="W34" s="592" t="str">
        <f>VLOOKUP(A34,'[1]Raw data'!$B:$AG,32,FALSE)</f>
        <v>DAP LS</v>
      </c>
      <c r="X34" s="591">
        <f>VLOOKUP(A34,'[1]Raw data'!$B:$BA,31,FALSE)</f>
        <v>45066</v>
      </c>
      <c r="Y34" s="584" t="str">
        <f>VLOOKUP(A34,'[1]Raw data'!$B:$AS,39,FALSE)</f>
        <v>Yes</v>
      </c>
      <c r="Z34" s="577"/>
      <c r="AA34" s="578"/>
      <c r="AB34" s="579"/>
      <c r="AC34" s="584"/>
      <c r="AD34" s="586">
        <v>301</v>
      </c>
      <c r="AE34" s="586">
        <v>5</v>
      </c>
      <c r="AF34" s="586">
        <v>302</v>
      </c>
      <c r="AG34" s="586">
        <v>5</v>
      </c>
      <c r="AH34" s="580"/>
      <c r="AI34" s="581"/>
      <c r="AN34" s="548"/>
      <c r="AO34" s="612" t="str">
        <f t="shared" si="14"/>
        <v>Yes</v>
      </c>
      <c r="AP34" s="260" t="str">
        <f t="shared" si="12"/>
        <v>MAR 24</v>
      </c>
      <c r="AQ34" s="548" t="str">
        <f t="shared" si="4"/>
        <v>有定金+客戶送貨期</v>
      </c>
      <c r="AR34" s="260" t="str">
        <f t="shared" si="13"/>
        <v>Incoming_Stock_With_YAMAHA_Schedule</v>
      </c>
      <c r="AS34" s="260">
        <f t="shared" si="6"/>
        <v>45355</v>
      </c>
    </row>
    <row r="35" spans="1:45" hidden="1">
      <c r="A35" s="565">
        <v>1926</v>
      </c>
      <c r="B35" s="588" t="s">
        <v>497</v>
      </c>
      <c r="C35" s="588" t="s">
        <v>212</v>
      </c>
      <c r="D35" s="589" t="s">
        <v>1838</v>
      </c>
      <c r="E35" s="593" t="s">
        <v>167</v>
      </c>
      <c r="F35" s="584" t="s">
        <v>18</v>
      </c>
      <c r="G35" s="584" t="s">
        <v>19</v>
      </c>
      <c r="H35" s="584" t="s">
        <v>27</v>
      </c>
      <c r="I35" s="580"/>
      <c r="J35" s="580">
        <v>1</v>
      </c>
      <c r="K35" s="584"/>
      <c r="L35" s="591">
        <v>45355</v>
      </c>
      <c r="M35" s="585"/>
      <c r="N35" s="576" t="s">
        <v>1840</v>
      </c>
      <c r="O35" s="570"/>
      <c r="P35" s="585" t="str">
        <f>VLOOKUP(A35,'[1]Raw data'!$B:$BA,23,FALSE)</f>
        <v>JPY</v>
      </c>
      <c r="Q35" s="584" t="str">
        <f>VLOOKUP(A35,'[1]Raw data'!$B:$Z,2,FALSE)</f>
        <v>C49SZX20230068JY</v>
      </c>
      <c r="R35" s="584" t="str">
        <f>VLOOKUP(A35,'[1]Raw data'!$B:$Z,3,FALSE)</f>
        <v>海凌科</v>
      </c>
      <c r="S35" s="584" t="str">
        <f>VLOOKUP(A35,'[1]Raw data'!$B:$Z,4,FALSE)</f>
        <v>YSM10</v>
      </c>
      <c r="T35" s="584" t="str">
        <f>VLOOKUP(A35,'[1]Raw data'!$B:$Z,8,FALSE)</f>
        <v>R-&gt;L</v>
      </c>
      <c r="U35" s="584" t="str">
        <f>VLOOKUP(A35,'[1]Raw data'!$B:$Z,9,FALSE)</f>
        <v>No</v>
      </c>
      <c r="V35" s="583" t="str">
        <f t="shared" si="16"/>
        <v>OK</v>
      </c>
      <c r="W35" s="592" t="str">
        <f>VLOOKUP(A35,'[1]Raw data'!$B:$AG,32,FALSE)</f>
        <v>DAP LS</v>
      </c>
      <c r="X35" s="591">
        <f>VLOOKUP(A35,'[1]Raw data'!$B:$BA,31,FALSE)</f>
        <v>45066</v>
      </c>
      <c r="Y35" s="584" t="str">
        <f>VLOOKUP(A35,'[1]Raw data'!$B:$AS,39,FALSE)</f>
        <v>Yes</v>
      </c>
      <c r="Z35" s="577"/>
      <c r="AA35" s="578"/>
      <c r="AB35" s="579"/>
      <c r="AC35" s="584"/>
      <c r="AD35" s="586">
        <v>301</v>
      </c>
      <c r="AE35" s="586">
        <v>5</v>
      </c>
      <c r="AF35" s="586">
        <v>302</v>
      </c>
      <c r="AG35" s="586">
        <v>5</v>
      </c>
      <c r="AH35" s="580"/>
      <c r="AI35" s="581"/>
      <c r="AN35" s="548"/>
      <c r="AO35" s="612" t="str">
        <f t="shared" si="14"/>
        <v>Yes</v>
      </c>
      <c r="AP35" s="260" t="str">
        <f t="shared" si="12"/>
        <v>MAR 24</v>
      </c>
      <c r="AQ35" s="548" t="str">
        <f t="shared" si="4"/>
        <v>有定金+客戶送貨期</v>
      </c>
      <c r="AR35" s="260" t="str">
        <f t="shared" si="13"/>
        <v>Incoming_Stock_With_YAMAHA_Schedule</v>
      </c>
      <c r="AS35" s="260">
        <f t="shared" si="6"/>
        <v>45355</v>
      </c>
    </row>
    <row r="36" spans="1:45" hidden="1">
      <c r="A36" s="565">
        <v>1927</v>
      </c>
      <c r="B36" s="588" t="s">
        <v>497</v>
      </c>
      <c r="C36" s="588" t="s">
        <v>212</v>
      </c>
      <c r="D36" s="589" t="s">
        <v>1838</v>
      </c>
      <c r="E36" s="593" t="s">
        <v>167</v>
      </c>
      <c r="F36" s="584" t="s">
        <v>18</v>
      </c>
      <c r="G36" s="584" t="s">
        <v>19</v>
      </c>
      <c r="H36" s="584" t="s">
        <v>27</v>
      </c>
      <c r="I36" s="580"/>
      <c r="J36" s="580">
        <v>1</v>
      </c>
      <c r="K36" s="584"/>
      <c r="L36" s="591">
        <v>45355</v>
      </c>
      <c r="M36" s="585"/>
      <c r="N36" s="576" t="s">
        <v>1840</v>
      </c>
      <c r="O36" s="570"/>
      <c r="P36" s="585" t="str">
        <f>VLOOKUP(A36,'[1]Raw data'!$B:$BA,23,FALSE)</f>
        <v>JPY</v>
      </c>
      <c r="Q36" s="584" t="str">
        <f>VLOOKUP(A36,'[1]Raw data'!$B:$Z,2,FALSE)</f>
        <v>C49SZX20230068JY</v>
      </c>
      <c r="R36" s="584" t="str">
        <f>VLOOKUP(A36,'[1]Raw data'!$B:$Z,3,FALSE)</f>
        <v>海凌科</v>
      </c>
      <c r="S36" s="584" t="str">
        <f>VLOOKUP(A36,'[1]Raw data'!$B:$Z,4,FALSE)</f>
        <v>YSM10</v>
      </c>
      <c r="T36" s="584" t="str">
        <f>VLOOKUP(A36,'[1]Raw data'!$B:$Z,8,FALSE)</f>
        <v>R-&gt;L</v>
      </c>
      <c r="U36" s="584" t="str">
        <f>VLOOKUP(A36,'[1]Raw data'!$B:$Z,9,FALSE)</f>
        <v>No</v>
      </c>
      <c r="V36" s="583" t="str">
        <f t="shared" ref="V36:V57" si="17">IF(G36&amp;H36=T36&amp;U36,"OK","WRONG")</f>
        <v>OK</v>
      </c>
      <c r="W36" s="592" t="str">
        <f>VLOOKUP(A36,'[1]Raw data'!$B:$AG,32,FALSE)</f>
        <v>DAP LS</v>
      </c>
      <c r="X36" s="591">
        <f>VLOOKUP(A36,'[1]Raw data'!$B:$BA,31,FALSE)</f>
        <v>45066</v>
      </c>
      <c r="Y36" s="584" t="str">
        <f>VLOOKUP(A36,'[1]Raw data'!$B:$AS,39,FALSE)</f>
        <v>Yes</v>
      </c>
      <c r="Z36" s="577"/>
      <c r="AA36" s="578"/>
      <c r="AB36" s="579"/>
      <c r="AC36" s="584"/>
      <c r="AD36" s="586">
        <v>301</v>
      </c>
      <c r="AE36" s="586">
        <v>5</v>
      </c>
      <c r="AF36" s="586">
        <v>302</v>
      </c>
      <c r="AG36" s="586">
        <v>5</v>
      </c>
      <c r="AH36" s="580"/>
      <c r="AI36" s="581"/>
      <c r="AN36" s="548"/>
      <c r="AO36" s="612" t="str">
        <f t="shared" si="14"/>
        <v>Yes</v>
      </c>
      <c r="AP36" s="260" t="str">
        <f t="shared" si="12"/>
        <v>MAR 24</v>
      </c>
      <c r="AQ36" s="548" t="str">
        <f t="shared" si="4"/>
        <v>有定金+客戶送貨期</v>
      </c>
      <c r="AR36" s="260" t="str">
        <f t="shared" si="13"/>
        <v>Incoming_Stock_With_YAMAHA_Schedule</v>
      </c>
      <c r="AS36" s="260">
        <f t="shared" si="6"/>
        <v>45355</v>
      </c>
    </row>
    <row r="37" spans="1:45" hidden="1">
      <c r="A37" s="565">
        <v>1922</v>
      </c>
      <c r="B37" s="588" t="s">
        <v>497</v>
      </c>
      <c r="C37" s="588" t="s">
        <v>212</v>
      </c>
      <c r="D37" s="589" t="s">
        <v>1838</v>
      </c>
      <c r="E37" s="593" t="s">
        <v>167</v>
      </c>
      <c r="F37" s="584" t="s">
        <v>18</v>
      </c>
      <c r="G37" s="584" t="s">
        <v>19</v>
      </c>
      <c r="H37" s="584" t="s">
        <v>27</v>
      </c>
      <c r="I37" s="580"/>
      <c r="J37" s="580">
        <v>1</v>
      </c>
      <c r="K37" s="584"/>
      <c r="L37" s="591">
        <v>45355</v>
      </c>
      <c r="M37" s="585"/>
      <c r="N37" s="576" t="s">
        <v>1840</v>
      </c>
      <c r="O37" s="570"/>
      <c r="P37" s="585" t="str">
        <f>VLOOKUP(A37,'[1]Raw data'!$B:$BA,23,FALSE)</f>
        <v>JPY</v>
      </c>
      <c r="Q37" s="584" t="str">
        <f>VLOOKUP(A37,'[1]Raw data'!$B:$Z,2,FALSE)</f>
        <v>C49SZX20230068JY</v>
      </c>
      <c r="R37" s="584" t="str">
        <f>VLOOKUP(A37,'[1]Raw data'!$B:$Z,3,FALSE)</f>
        <v>海凌科</v>
      </c>
      <c r="S37" s="584" t="str">
        <f>VLOOKUP(A37,'[1]Raw data'!$B:$Z,4,FALSE)</f>
        <v>YSM10</v>
      </c>
      <c r="T37" s="584" t="str">
        <f>VLOOKUP(A37,'[1]Raw data'!$B:$Z,8,FALSE)</f>
        <v>L-&gt;R</v>
      </c>
      <c r="U37" s="584" t="str">
        <f>VLOOKUP(A37,'[1]Raw data'!$B:$Z,9,FALSE)</f>
        <v>No</v>
      </c>
      <c r="V37" s="583" t="str">
        <f t="shared" si="17"/>
        <v>WRONG</v>
      </c>
      <c r="W37" s="592" t="str">
        <f>VLOOKUP(A37,'[1]Raw data'!$B:$AG,32,FALSE)</f>
        <v>DAP LS</v>
      </c>
      <c r="X37" s="591">
        <f>VLOOKUP(A37,'[1]Raw data'!$B:$BA,31,FALSE)</f>
        <v>45066</v>
      </c>
      <c r="Y37" s="584" t="str">
        <f>VLOOKUP(A37,'[1]Raw data'!$B:$AS,39,FALSE)</f>
        <v>Yes</v>
      </c>
      <c r="Z37" s="577"/>
      <c r="AA37" s="578"/>
      <c r="AB37" s="579"/>
      <c r="AC37" s="584"/>
      <c r="AD37" s="586">
        <v>301</v>
      </c>
      <c r="AE37" s="586">
        <v>5</v>
      </c>
      <c r="AF37" s="586">
        <v>302</v>
      </c>
      <c r="AG37" s="586">
        <v>5</v>
      </c>
      <c r="AH37" s="580"/>
      <c r="AI37" s="581"/>
      <c r="AN37" s="548"/>
      <c r="AO37" s="612" t="str">
        <f t="shared" si="14"/>
        <v>Yes</v>
      </c>
      <c r="AP37" s="260" t="str">
        <f t="shared" si="12"/>
        <v>MAR 24</v>
      </c>
      <c r="AQ37" s="548" t="str">
        <f t="shared" si="4"/>
        <v>有定金+客戶送貨期</v>
      </c>
      <c r="AR37" s="260" t="str">
        <f t="shared" si="13"/>
        <v>Incoming_Stock_With_YAMAHA_Schedule</v>
      </c>
      <c r="AS37" s="260">
        <f t="shared" si="6"/>
        <v>45355</v>
      </c>
    </row>
    <row r="38" spans="1:45" hidden="1">
      <c r="A38" s="565">
        <v>1923</v>
      </c>
      <c r="B38" s="588" t="s">
        <v>497</v>
      </c>
      <c r="C38" s="588" t="s">
        <v>212</v>
      </c>
      <c r="D38" s="589" t="s">
        <v>1838</v>
      </c>
      <c r="E38" s="593" t="s">
        <v>167</v>
      </c>
      <c r="F38" s="584" t="s">
        <v>18</v>
      </c>
      <c r="G38" s="584" t="s">
        <v>19</v>
      </c>
      <c r="H38" s="584" t="s">
        <v>27</v>
      </c>
      <c r="I38" s="580"/>
      <c r="J38" s="580">
        <v>1</v>
      </c>
      <c r="K38" s="584"/>
      <c r="L38" s="591">
        <v>45355</v>
      </c>
      <c r="M38" s="585"/>
      <c r="N38" s="576" t="s">
        <v>1840</v>
      </c>
      <c r="O38" s="570"/>
      <c r="P38" s="585" t="str">
        <f>VLOOKUP(A38,'[1]Raw data'!$B:$BA,23,FALSE)</f>
        <v>JPY</v>
      </c>
      <c r="Q38" s="584" t="str">
        <f>VLOOKUP(A38,'[1]Raw data'!$B:$Z,2,FALSE)</f>
        <v>C49SZX20230068JY</v>
      </c>
      <c r="R38" s="584" t="str">
        <f>VLOOKUP(A38,'[1]Raw data'!$B:$Z,3,FALSE)</f>
        <v>海凌科</v>
      </c>
      <c r="S38" s="584" t="str">
        <f>VLOOKUP(A38,'[1]Raw data'!$B:$Z,4,FALSE)</f>
        <v>YSM10</v>
      </c>
      <c r="T38" s="584" t="str">
        <f>VLOOKUP(A38,'[1]Raw data'!$B:$Z,8,FALSE)</f>
        <v>L-&gt;R</v>
      </c>
      <c r="U38" s="584" t="str">
        <f>VLOOKUP(A38,'[1]Raw data'!$B:$Z,9,FALSE)</f>
        <v>No</v>
      </c>
      <c r="V38" s="583" t="str">
        <f t="shared" si="17"/>
        <v>WRONG</v>
      </c>
      <c r="W38" s="592" t="str">
        <f>VLOOKUP(A38,'[1]Raw data'!$B:$AG,32,FALSE)</f>
        <v>DAP LS</v>
      </c>
      <c r="X38" s="591">
        <f>VLOOKUP(A38,'[1]Raw data'!$B:$BA,31,FALSE)</f>
        <v>45066</v>
      </c>
      <c r="Y38" s="584" t="str">
        <f>VLOOKUP(A38,'[1]Raw data'!$B:$AS,39,FALSE)</f>
        <v>Yes</v>
      </c>
      <c r="Z38" s="577"/>
      <c r="AA38" s="578"/>
      <c r="AB38" s="579"/>
      <c r="AC38" s="584"/>
      <c r="AD38" s="586">
        <v>301</v>
      </c>
      <c r="AE38" s="586">
        <v>5</v>
      </c>
      <c r="AF38" s="586">
        <v>302</v>
      </c>
      <c r="AG38" s="586">
        <v>5</v>
      </c>
      <c r="AH38" s="580"/>
      <c r="AI38" s="581"/>
      <c r="AN38" s="548"/>
      <c r="AO38" s="612" t="str">
        <f t="shared" si="14"/>
        <v>Yes</v>
      </c>
      <c r="AP38" s="260" t="str">
        <f t="shared" si="12"/>
        <v>MAR 24</v>
      </c>
      <c r="AQ38" s="548" t="str">
        <f t="shared" si="4"/>
        <v>有定金+客戶送貨期</v>
      </c>
      <c r="AR38" s="260" t="str">
        <f t="shared" si="13"/>
        <v>Incoming_Stock_With_YAMAHA_Schedule</v>
      </c>
      <c r="AS38" s="260">
        <f t="shared" si="6"/>
        <v>45355</v>
      </c>
    </row>
    <row r="39" spans="1:45" hidden="1">
      <c r="B39" s="588" t="s">
        <v>497</v>
      </c>
      <c r="C39" s="588" t="s">
        <v>212</v>
      </c>
      <c r="D39" s="589" t="s">
        <v>1838</v>
      </c>
      <c r="E39" s="593" t="s">
        <v>167</v>
      </c>
      <c r="F39" s="584" t="s">
        <v>18</v>
      </c>
      <c r="G39" s="584" t="s">
        <v>19</v>
      </c>
      <c r="H39" s="584" t="s">
        <v>20</v>
      </c>
      <c r="I39" s="580"/>
      <c r="J39" s="580">
        <v>1</v>
      </c>
      <c r="K39" s="584"/>
      <c r="L39" s="591">
        <v>45355</v>
      </c>
      <c r="M39" s="585"/>
      <c r="N39" s="576"/>
      <c r="O39" s="570"/>
      <c r="P39" s="585" t="e">
        <f>VLOOKUP(A39,'[1]Raw data'!$B:$BA,23,FALSE)</f>
        <v>#N/A</v>
      </c>
      <c r="Q39" s="584" t="e">
        <f>VLOOKUP(A39,'[1]Raw data'!$B:$Z,2,FALSE)</f>
        <v>#N/A</v>
      </c>
      <c r="R39" s="584" t="e">
        <f>VLOOKUP(A39,'[1]Raw data'!$B:$Z,3,FALSE)</f>
        <v>#N/A</v>
      </c>
      <c r="S39" s="584" t="e">
        <f>VLOOKUP(A39,'[1]Raw data'!$B:$Z,4,FALSE)</f>
        <v>#N/A</v>
      </c>
      <c r="T39" s="584" t="e">
        <f>VLOOKUP(A39,'[1]Raw data'!$B:$Z,8,FALSE)</f>
        <v>#N/A</v>
      </c>
      <c r="U39" s="584" t="e">
        <f>VLOOKUP(A39,'[1]Raw data'!$B:$Z,9,FALSE)</f>
        <v>#N/A</v>
      </c>
      <c r="V39" s="583" t="e">
        <f t="shared" si="17"/>
        <v>#N/A</v>
      </c>
      <c r="W39" s="592" t="e">
        <f>VLOOKUP(A39,'[1]Raw data'!$B:$AG,32,FALSE)</f>
        <v>#N/A</v>
      </c>
      <c r="X39" s="591" t="e">
        <f>VLOOKUP(A39,'[1]Raw data'!$B:$BA,31,FALSE)</f>
        <v>#N/A</v>
      </c>
      <c r="Y39" s="584" t="e">
        <f>VLOOKUP(A39,'[1]Raw data'!$B:$AS,39,FALSE)</f>
        <v>#N/A</v>
      </c>
      <c r="Z39" s="577"/>
      <c r="AA39" s="578"/>
      <c r="AB39" s="579"/>
      <c r="AC39" s="584"/>
      <c r="AD39" s="586">
        <v>301</v>
      </c>
      <c r="AE39" s="586">
        <v>10</v>
      </c>
      <c r="AF39" s="586"/>
      <c r="AG39" s="586"/>
      <c r="AH39" s="580"/>
      <c r="AI39" s="581"/>
      <c r="AN39" s="548"/>
      <c r="AO39" s="612" t="str">
        <f t="shared" si="14"/>
        <v>NA</v>
      </c>
      <c r="AP39" s="260" t="str">
        <f t="shared" si="12"/>
        <v>blank</v>
      </c>
      <c r="AQ39" s="548" t="str">
        <f t="shared" si="4"/>
        <v>无定金+无客戶送貨期</v>
      </c>
      <c r="AR39" s="260" t="str">
        <f t="shared" si="13"/>
        <v>Incoming_Stock_With_YAMAHA_Schedule</v>
      </c>
      <c r="AS39" s="260">
        <f t="shared" si="6"/>
        <v>45355</v>
      </c>
    </row>
    <row r="40" spans="1:45" hidden="1">
      <c r="B40" s="588" t="s">
        <v>497</v>
      </c>
      <c r="C40" s="588" t="s">
        <v>212</v>
      </c>
      <c r="D40" s="589" t="s">
        <v>1838</v>
      </c>
      <c r="E40" s="593" t="s">
        <v>167</v>
      </c>
      <c r="F40" s="584" t="s">
        <v>18</v>
      </c>
      <c r="G40" s="584" t="s">
        <v>19</v>
      </c>
      <c r="H40" s="584" t="s">
        <v>27</v>
      </c>
      <c r="I40" s="580"/>
      <c r="J40" s="580">
        <v>1</v>
      </c>
      <c r="K40" s="584"/>
      <c r="L40" s="591">
        <v>45355</v>
      </c>
      <c r="M40" s="585"/>
      <c r="N40" s="576"/>
      <c r="O40" s="570"/>
      <c r="P40" s="585" t="e">
        <f>VLOOKUP(A40,'[1]Raw data'!$B:$BA,23,FALSE)</f>
        <v>#N/A</v>
      </c>
      <c r="Q40" s="584" t="e">
        <f>VLOOKUP(A40,'[1]Raw data'!$B:$Z,2,FALSE)</f>
        <v>#N/A</v>
      </c>
      <c r="R40" s="584" t="e">
        <f>VLOOKUP(A40,'[1]Raw data'!$B:$Z,3,FALSE)</f>
        <v>#N/A</v>
      </c>
      <c r="S40" s="584" t="e">
        <f>VLOOKUP(A40,'[1]Raw data'!$B:$Z,4,FALSE)</f>
        <v>#N/A</v>
      </c>
      <c r="T40" s="584" t="e">
        <f>VLOOKUP(A40,'[1]Raw data'!$B:$Z,8,FALSE)</f>
        <v>#N/A</v>
      </c>
      <c r="U40" s="584" t="e">
        <f>VLOOKUP(A40,'[1]Raw data'!$B:$Z,9,FALSE)</f>
        <v>#N/A</v>
      </c>
      <c r="V40" s="583" t="e">
        <f t="shared" si="17"/>
        <v>#N/A</v>
      </c>
      <c r="W40" s="592" t="e">
        <f>VLOOKUP(A40,'[1]Raw data'!$B:$AG,32,FALSE)</f>
        <v>#N/A</v>
      </c>
      <c r="X40" s="591" t="e">
        <f>VLOOKUP(A40,'[1]Raw data'!$B:$BA,31,FALSE)</f>
        <v>#N/A</v>
      </c>
      <c r="Y40" s="584" t="e">
        <f>VLOOKUP(A40,'[1]Raw data'!$B:$AS,39,FALSE)</f>
        <v>#N/A</v>
      </c>
      <c r="Z40" s="577"/>
      <c r="AA40" s="578"/>
      <c r="AB40" s="579"/>
      <c r="AC40" s="584"/>
      <c r="AD40" s="586">
        <v>301</v>
      </c>
      <c r="AE40" s="586">
        <v>10</v>
      </c>
      <c r="AF40" s="586"/>
      <c r="AG40" s="586"/>
      <c r="AH40" s="580"/>
      <c r="AI40" s="581"/>
      <c r="AN40" s="548"/>
      <c r="AO40" s="612" t="str">
        <f t="shared" si="14"/>
        <v>NA</v>
      </c>
      <c r="AP40" s="260" t="str">
        <f t="shared" si="12"/>
        <v>blank</v>
      </c>
      <c r="AQ40" s="548" t="str">
        <f t="shared" si="4"/>
        <v>无定金+无客戶送貨期</v>
      </c>
      <c r="AR40" s="260" t="str">
        <f t="shared" si="13"/>
        <v>Incoming_Stock_With_YAMAHA_Schedule</v>
      </c>
      <c r="AS40" s="260">
        <f t="shared" si="6"/>
        <v>45355</v>
      </c>
    </row>
    <row r="41" spans="1:45" hidden="1">
      <c r="A41" s="565">
        <v>2068</v>
      </c>
      <c r="B41" s="588" t="s">
        <v>497</v>
      </c>
      <c r="C41" s="588" t="s">
        <v>212</v>
      </c>
      <c r="D41" s="589">
        <v>111522</v>
      </c>
      <c r="E41" s="593" t="s">
        <v>167</v>
      </c>
      <c r="F41" s="584" t="s">
        <v>55</v>
      </c>
      <c r="G41" s="584" t="s">
        <v>19</v>
      </c>
      <c r="H41" s="584"/>
      <c r="I41" s="580"/>
      <c r="J41" s="580">
        <v>1</v>
      </c>
      <c r="K41" s="584"/>
      <c r="L41" s="591">
        <v>45352</v>
      </c>
      <c r="M41" s="585">
        <v>4.9299999999999997E-2</v>
      </c>
      <c r="N41" s="576" t="s">
        <v>1746</v>
      </c>
      <c r="O41" s="570"/>
      <c r="P41" s="585" t="str">
        <f>VLOOKUP(A41,'[1]Raw data'!$B:$BA,23,FALSE)</f>
        <v>JPY</v>
      </c>
      <c r="Q41" s="584" t="str">
        <f>VLOOKUP(A41,'[1]Raw data'!$B:$Z,2,FALSE)</f>
        <v>C49SZX20230009MZ</v>
      </c>
      <c r="R41" s="584" t="str">
        <f>VLOOKUP(A41,'[1]Raw data'!$B:$Z,3,FALSE)</f>
        <v>鸿楠</v>
      </c>
      <c r="S41" s="584" t="str">
        <f>VLOOKUP(A41,'[1]Raw data'!$B:$Z,4,FALSE)</f>
        <v>YSM20R-2</v>
      </c>
      <c r="T41" s="584" t="str">
        <f>VLOOKUP(A41,'[1]Raw data'!$B:$Z,8,FALSE)</f>
        <v>R-&gt;L</v>
      </c>
      <c r="U41" s="584" t="str">
        <f>VLOOKUP(A41,'[1]Raw data'!$B:$Z,9,FALSE)</f>
        <v>MVC</v>
      </c>
      <c r="V41" s="583" t="str">
        <f t="shared" si="17"/>
        <v>WRONG</v>
      </c>
      <c r="W41" s="592" t="str">
        <f>VLOOKUP(A41,'[1]Raw data'!$B:$AG,32,FALSE)</f>
        <v>CIF HK</v>
      </c>
      <c r="X41" s="591">
        <f>VLOOKUP(A41,'[1]Raw data'!$B:$BA,31,FALSE)</f>
        <v>45313</v>
      </c>
      <c r="Y41" s="584" t="str">
        <f>VLOOKUP(A41,'[1]Raw data'!$B:$AS,39,FALSE)</f>
        <v>Yes</v>
      </c>
      <c r="Z41" s="577"/>
      <c r="AA41" s="578"/>
      <c r="AB41" s="579"/>
      <c r="AC41" s="584"/>
      <c r="AD41" s="580">
        <v>301</v>
      </c>
      <c r="AE41" s="580">
        <v>10</v>
      </c>
      <c r="AF41" s="580">
        <v>301</v>
      </c>
      <c r="AG41" s="580">
        <v>10</v>
      </c>
      <c r="AH41" s="580"/>
      <c r="AI41" s="581"/>
      <c r="AN41" s="548"/>
      <c r="AO41" s="612" t="str">
        <f t="shared" si="14"/>
        <v>Yes</v>
      </c>
      <c r="AP41" s="260" t="str">
        <f t="shared" si="12"/>
        <v>FEB 24</v>
      </c>
      <c r="AQ41" s="548" t="str">
        <f t="shared" si="4"/>
        <v>有定金+客戶送貨期</v>
      </c>
      <c r="AR41" s="260" t="str">
        <f t="shared" si="13"/>
        <v>Incoming_Stock_With_YAMAHA_Schedule</v>
      </c>
      <c r="AS41" s="260">
        <f t="shared" si="6"/>
        <v>45352</v>
      </c>
    </row>
    <row r="42" spans="1:45" hidden="1">
      <c r="A42" s="565">
        <v>2069</v>
      </c>
      <c r="B42" s="588" t="s">
        <v>497</v>
      </c>
      <c r="C42" s="588" t="s">
        <v>212</v>
      </c>
      <c r="D42" s="589">
        <v>111522</v>
      </c>
      <c r="E42" s="593" t="s">
        <v>167</v>
      </c>
      <c r="F42" s="584" t="s">
        <v>55</v>
      </c>
      <c r="G42" s="584" t="s">
        <v>19</v>
      </c>
      <c r="H42" s="584"/>
      <c r="I42" s="580"/>
      <c r="J42" s="580">
        <v>1</v>
      </c>
      <c r="K42" s="584"/>
      <c r="L42" s="591">
        <v>45352</v>
      </c>
      <c r="M42" s="585">
        <v>4.9299999999999997E-2</v>
      </c>
      <c r="N42" s="576" t="s">
        <v>1746</v>
      </c>
      <c r="O42" s="570"/>
      <c r="P42" s="585" t="str">
        <f>VLOOKUP(A42,'[1]Raw data'!$B:$BA,23,FALSE)</f>
        <v>JPY</v>
      </c>
      <c r="Q42" s="584" t="str">
        <f>VLOOKUP(A42,'[1]Raw data'!$B:$Z,2,FALSE)</f>
        <v>C49SZX20230009MZ</v>
      </c>
      <c r="R42" s="584" t="str">
        <f>VLOOKUP(A42,'[1]Raw data'!$B:$Z,3,FALSE)</f>
        <v>鸿楠</v>
      </c>
      <c r="S42" s="584" t="str">
        <f>VLOOKUP(A42,'[1]Raw data'!$B:$Z,4,FALSE)</f>
        <v>YSM20R-2</v>
      </c>
      <c r="T42" s="584" t="str">
        <f>VLOOKUP(A42,'[1]Raw data'!$B:$Z,8,FALSE)</f>
        <v>R-&gt;L</v>
      </c>
      <c r="U42" s="584" t="str">
        <f>VLOOKUP(A42,'[1]Raw data'!$B:$Z,9,FALSE)</f>
        <v>No</v>
      </c>
      <c r="V42" s="583" t="str">
        <f t="shared" si="17"/>
        <v>WRONG</v>
      </c>
      <c r="W42" s="592" t="str">
        <f>VLOOKUP(A42,'[1]Raw data'!$B:$AG,32,FALSE)</f>
        <v>CIF HK</v>
      </c>
      <c r="X42" s="591">
        <f>VLOOKUP(A42,'[1]Raw data'!$B:$BA,31,FALSE)</f>
        <v>45313</v>
      </c>
      <c r="Y42" s="584" t="str">
        <f>VLOOKUP(A42,'[1]Raw data'!$B:$AS,39,FALSE)</f>
        <v>Yes</v>
      </c>
      <c r="Z42" s="577"/>
      <c r="AA42" s="578"/>
      <c r="AB42" s="579"/>
      <c r="AC42" s="584"/>
      <c r="AD42" s="580">
        <v>301</v>
      </c>
      <c r="AE42" s="580">
        <v>10</v>
      </c>
      <c r="AF42" s="580">
        <v>303</v>
      </c>
      <c r="AG42" s="580">
        <v>10</v>
      </c>
      <c r="AH42" s="580"/>
      <c r="AI42" s="581"/>
      <c r="AN42" s="548"/>
      <c r="AO42" s="612" t="str">
        <f t="shared" si="14"/>
        <v>Yes</v>
      </c>
      <c r="AP42" s="260" t="str">
        <f t="shared" si="12"/>
        <v>FEB 24</v>
      </c>
      <c r="AQ42" s="548" t="str">
        <f t="shared" si="4"/>
        <v>有定金+客戶送貨期</v>
      </c>
      <c r="AR42" s="260" t="str">
        <f t="shared" si="13"/>
        <v>Incoming_Stock_With_YAMAHA_Schedule</v>
      </c>
      <c r="AS42" s="260">
        <f t="shared" si="6"/>
        <v>45352</v>
      </c>
    </row>
    <row r="43" spans="1:45" hidden="1">
      <c r="A43" s="565">
        <v>2092</v>
      </c>
      <c r="B43" s="588" t="s">
        <v>497</v>
      </c>
      <c r="C43" s="588" t="s">
        <v>212</v>
      </c>
      <c r="D43" s="589">
        <v>111522</v>
      </c>
      <c r="E43" s="593" t="s">
        <v>167</v>
      </c>
      <c r="F43" s="584" t="s">
        <v>55</v>
      </c>
      <c r="G43" s="584" t="s">
        <v>19</v>
      </c>
      <c r="H43" s="584"/>
      <c r="I43" s="580"/>
      <c r="J43" s="580">
        <v>1</v>
      </c>
      <c r="K43" s="584"/>
      <c r="L43" s="591">
        <v>45352</v>
      </c>
      <c r="M43" s="585">
        <v>4.9299999999999997E-2</v>
      </c>
      <c r="N43" s="576" t="s">
        <v>1746</v>
      </c>
      <c r="O43" s="570"/>
      <c r="P43" s="585" t="str">
        <f>VLOOKUP(A43,'[1]Raw data'!$B:$BA,23,FALSE)</f>
        <v>RMB</v>
      </c>
      <c r="Q43" s="584" t="str">
        <f>VLOOKUP(A43,'[1]Raw data'!$B:$Z,2,FALSE)</f>
        <v>C49SZX20240023SQ</v>
      </c>
      <c r="R43" s="584" t="str">
        <f>VLOOKUP(A43,'[1]Raw data'!$B:$Z,3,FALSE)</f>
        <v>益友新鑫</v>
      </c>
      <c r="S43" s="584" t="str">
        <f>VLOOKUP(A43,'[1]Raw data'!$B:$Z,4,FALSE)</f>
        <v>YSM20R-2</v>
      </c>
      <c r="T43" s="584" t="str">
        <f>VLOOKUP(A43,'[1]Raw data'!$B:$Z,8,FALSE)</f>
        <v>R-&gt;L</v>
      </c>
      <c r="U43" s="584" t="str">
        <f>VLOOKUP(A43,'[1]Raw data'!$B:$Z,9,FALSE)</f>
        <v>No</v>
      </c>
      <c r="V43" s="583" t="str">
        <f t="shared" si="17"/>
        <v>WRONG</v>
      </c>
      <c r="W43" s="592" t="str">
        <f>VLOOKUP(A43,'[1]Raw data'!$B:$AG,32,FALSE)</f>
        <v>DDP DG</v>
      </c>
      <c r="X43" s="591">
        <f>VLOOKUP(A43,'[1]Raw data'!$B:$BA,31,FALSE)</f>
        <v>45321</v>
      </c>
      <c r="Y43" s="584" t="str">
        <f>VLOOKUP(A43,'[1]Raw data'!$B:$AS,39,FALSE)</f>
        <v>No</v>
      </c>
      <c r="Z43" s="577"/>
      <c r="AA43" s="578"/>
      <c r="AB43" s="579"/>
      <c r="AC43" s="584"/>
      <c r="AD43" s="580">
        <v>301</v>
      </c>
      <c r="AE43" s="580">
        <v>10</v>
      </c>
      <c r="AF43" s="580">
        <v>303</v>
      </c>
      <c r="AG43" s="580">
        <v>10</v>
      </c>
      <c r="AH43" s="580"/>
      <c r="AI43" s="581"/>
      <c r="AN43" s="548"/>
      <c r="AO43" s="612" t="str">
        <f t="shared" si="14"/>
        <v>No</v>
      </c>
      <c r="AP43" s="260" t="str">
        <f t="shared" si="12"/>
        <v>FEB 24</v>
      </c>
      <c r="AQ43" s="548" t="str">
        <f t="shared" si="4"/>
        <v>无定金+有客戶送貨期</v>
      </c>
      <c r="AR43" s="260" t="str">
        <f t="shared" si="13"/>
        <v>Incoming_Stock_With_YAMAHA_Schedule</v>
      </c>
      <c r="AS43" s="260">
        <f t="shared" si="6"/>
        <v>45352</v>
      </c>
    </row>
    <row r="44" spans="1:45" ht="14.25" hidden="1" customHeight="1">
      <c r="B44" s="588" t="s">
        <v>497</v>
      </c>
      <c r="C44" s="588" t="s">
        <v>212</v>
      </c>
      <c r="D44" s="589" t="s">
        <v>1837</v>
      </c>
      <c r="E44" s="593" t="s">
        <v>167</v>
      </c>
      <c r="F44" s="584" t="s">
        <v>55</v>
      </c>
      <c r="G44" s="584" t="s">
        <v>19</v>
      </c>
      <c r="H44" s="584"/>
      <c r="I44" s="580"/>
      <c r="J44" s="580">
        <v>1</v>
      </c>
      <c r="K44" s="584"/>
      <c r="L44" s="591">
        <v>45352</v>
      </c>
      <c r="M44" s="585" t="s">
        <v>1871</v>
      </c>
      <c r="N44" s="576" t="s">
        <v>1703</v>
      </c>
      <c r="O44" s="570"/>
      <c r="P44" s="585" t="e">
        <f>VLOOKUP(A44,'[1]Raw data'!$B:$BA,23,FALSE)</f>
        <v>#N/A</v>
      </c>
      <c r="Q44" s="584" t="e">
        <f>VLOOKUP(A44,'[1]Raw data'!$B:$Z,2,FALSE)</f>
        <v>#N/A</v>
      </c>
      <c r="R44" s="584" t="e">
        <f>VLOOKUP(A44,'[1]Raw data'!$B:$Z,3,FALSE)</f>
        <v>#N/A</v>
      </c>
      <c r="S44" s="584" t="e">
        <f>VLOOKUP(A44,'[1]Raw data'!$B:$Z,4,FALSE)</f>
        <v>#N/A</v>
      </c>
      <c r="T44" s="584" t="e">
        <f>VLOOKUP(A44,'[1]Raw data'!$B:$Z,8,FALSE)</f>
        <v>#N/A</v>
      </c>
      <c r="U44" s="584" t="e">
        <f>VLOOKUP(A44,'[1]Raw data'!$B:$Z,9,FALSE)</f>
        <v>#N/A</v>
      </c>
      <c r="V44" s="583" t="e">
        <f t="shared" si="17"/>
        <v>#N/A</v>
      </c>
      <c r="W44" s="592" t="e">
        <f>VLOOKUP(A44,'[1]Raw data'!$B:$AG,32,FALSE)</f>
        <v>#N/A</v>
      </c>
      <c r="X44" s="591" t="e">
        <f>VLOOKUP(A44,'[1]Raw data'!$B:$BA,31,FALSE)</f>
        <v>#N/A</v>
      </c>
      <c r="Y44" s="584" t="e">
        <f>VLOOKUP(A44,'[1]Raw data'!$B:$AS,39,FALSE)</f>
        <v>#N/A</v>
      </c>
      <c r="Z44" s="577"/>
      <c r="AA44" s="578"/>
      <c r="AB44" s="579"/>
      <c r="AC44" s="584"/>
      <c r="AD44" s="580">
        <v>301</v>
      </c>
      <c r="AE44" s="580">
        <v>10</v>
      </c>
      <c r="AF44" s="580">
        <v>301</v>
      </c>
      <c r="AG44" s="580">
        <v>10</v>
      </c>
      <c r="AH44" s="580"/>
      <c r="AI44" s="581"/>
      <c r="AN44" s="548"/>
      <c r="AO44" s="612" t="str">
        <f t="shared" si="14"/>
        <v>NA</v>
      </c>
      <c r="AP44" s="260" t="str">
        <f t="shared" si="12"/>
        <v>TBA.</v>
      </c>
      <c r="AQ44" s="548" t="str">
        <f t="shared" si="4"/>
        <v>无定金+有客戶送貨期</v>
      </c>
      <c r="AR44" s="260" t="str">
        <f t="shared" si="13"/>
        <v>Incoming_Stock_With_YAMAHA_Schedule</v>
      </c>
      <c r="AS44" s="260">
        <f t="shared" si="6"/>
        <v>45352</v>
      </c>
    </row>
    <row r="45" spans="1:45" ht="30.6" hidden="1">
      <c r="A45" s="565">
        <v>2066</v>
      </c>
      <c r="B45" s="588" t="s">
        <v>1703</v>
      </c>
      <c r="C45" s="588" t="s">
        <v>212</v>
      </c>
      <c r="D45" s="589">
        <v>111536</v>
      </c>
      <c r="E45" s="593" t="s">
        <v>1848</v>
      </c>
      <c r="F45" s="584" t="s">
        <v>18</v>
      </c>
      <c r="G45" s="584" t="s">
        <v>25</v>
      </c>
      <c r="H45" s="584" t="s">
        <v>1545</v>
      </c>
      <c r="I45" s="580"/>
      <c r="J45" s="580">
        <v>1</v>
      </c>
      <c r="K45" s="584"/>
      <c r="L45" s="591" t="s">
        <v>1748</v>
      </c>
      <c r="M45" s="585" t="s">
        <v>1863</v>
      </c>
      <c r="N45" s="576"/>
      <c r="O45" s="570"/>
      <c r="P45" s="585" t="str">
        <f>VLOOKUP(A45,'[1]Raw data'!$B:$BA,23,FALSE)</f>
        <v>USD</v>
      </c>
      <c r="Q45" s="584" t="str">
        <f>VLOOKUP(A45,'[1]Raw data'!$B:$Z,2,FALSE)</f>
        <v>C49SZX20240008JL/4600004037</v>
      </c>
      <c r="R45" s="584" t="str">
        <f>VLOOKUP(A45,'[1]Raw data'!$B:$Z,3,FALSE)</f>
        <v>高伟</v>
      </c>
      <c r="S45" s="584" t="str">
        <f>VLOOKUP(A45,'[1]Raw data'!$B:$Z,4,FALSE)</f>
        <v>YSM10</v>
      </c>
      <c r="T45" s="584" t="str">
        <f>VLOOKUP(A45,'[1]Raw data'!$B:$Z,8,FALSE)</f>
        <v>L-&gt;R</v>
      </c>
      <c r="U45" s="584" t="str">
        <f>VLOOKUP(A45,'[1]Raw data'!$B:$Z,9,FALSE)</f>
        <v xml:space="preserve">MVC(with 5 heads) </v>
      </c>
      <c r="V45" s="583" t="str">
        <f t="shared" si="17"/>
        <v>OK</v>
      </c>
      <c r="W45" s="592" t="str">
        <f>VLOOKUP(A45,'[1]Raw data'!$B:$AG,32,FALSE)</f>
        <v>CIF HK</v>
      </c>
      <c r="X45" s="591">
        <f>VLOOKUP(A45,'[1]Raw data'!$B:$BA,31,FALSE)</f>
        <v>45313</v>
      </c>
      <c r="Y45" s="584" t="str">
        <f>VLOOKUP(A45,'[1]Raw data'!$B:$AS,39,FALSE)</f>
        <v>Yes</v>
      </c>
      <c r="Z45" s="577"/>
      <c r="AA45" s="578"/>
      <c r="AB45" s="579"/>
      <c r="AC45" s="584"/>
      <c r="AD45" s="580">
        <v>303</v>
      </c>
      <c r="AE45" s="580">
        <v>5</v>
      </c>
      <c r="AF45" s="580"/>
      <c r="AG45" s="580"/>
      <c r="AH45" s="580"/>
      <c r="AI45" s="581"/>
      <c r="AN45" s="548"/>
      <c r="AO45" s="612" t="str">
        <f t="shared" si="14"/>
        <v>Yes</v>
      </c>
      <c r="AP45" s="260" t="str">
        <f t="shared" si="12"/>
        <v>blank</v>
      </c>
      <c r="AQ45" s="548" t="str">
        <f t="shared" si="4"/>
        <v>有定金+无客戶送貨期</v>
      </c>
      <c r="AR45" s="260" t="str">
        <f t="shared" si="13"/>
        <v>Incoming_Stock_No_YAMAHA_Schedule</v>
      </c>
      <c r="AS45" s="260" t="str">
        <f t="shared" si="6"/>
        <v/>
      </c>
    </row>
    <row r="46" spans="1:45" ht="30.6" hidden="1">
      <c r="A46" s="565">
        <v>2067</v>
      </c>
      <c r="B46" s="588" t="s">
        <v>1703</v>
      </c>
      <c r="C46" s="588" t="s">
        <v>212</v>
      </c>
      <c r="D46" s="589">
        <v>111536</v>
      </c>
      <c r="E46" s="593" t="s">
        <v>1848</v>
      </c>
      <c r="F46" s="584" t="s">
        <v>18</v>
      </c>
      <c r="G46" s="584" t="s">
        <v>25</v>
      </c>
      <c r="H46" s="584" t="s">
        <v>1545</v>
      </c>
      <c r="I46" s="580"/>
      <c r="J46" s="580">
        <v>1</v>
      </c>
      <c r="K46" s="584"/>
      <c r="L46" s="591" t="s">
        <v>1748</v>
      </c>
      <c r="M46" s="585" t="s">
        <v>1863</v>
      </c>
      <c r="N46" s="576"/>
      <c r="O46" s="570"/>
      <c r="P46" s="585" t="str">
        <f>VLOOKUP(A46,'[1]Raw data'!$B:$BA,23,FALSE)</f>
        <v>USD</v>
      </c>
      <c r="Q46" s="584" t="str">
        <f>VLOOKUP(A46,'[1]Raw data'!$B:$Z,2,FALSE)</f>
        <v>C49SZX20240008JL/4600004037</v>
      </c>
      <c r="R46" s="584" t="str">
        <f>VLOOKUP(A46,'[1]Raw data'!$B:$Z,3,FALSE)</f>
        <v>高伟</v>
      </c>
      <c r="S46" s="584" t="str">
        <f>VLOOKUP(A46,'[1]Raw data'!$B:$Z,4,FALSE)</f>
        <v>YSM10</v>
      </c>
      <c r="T46" s="584" t="str">
        <f>VLOOKUP(A46,'[1]Raw data'!$B:$Z,8,FALSE)</f>
        <v>L-&gt;R</v>
      </c>
      <c r="U46" s="584" t="str">
        <f>VLOOKUP(A46,'[1]Raw data'!$B:$Z,9,FALSE)</f>
        <v xml:space="preserve">MVC(with 5 heads) </v>
      </c>
      <c r="V46" s="583" t="str">
        <f t="shared" si="17"/>
        <v>OK</v>
      </c>
      <c r="W46" s="592" t="str">
        <f>VLOOKUP(A46,'[1]Raw data'!$B:$AG,32,FALSE)</f>
        <v>CIF HK</v>
      </c>
      <c r="X46" s="591">
        <f>VLOOKUP(A46,'[1]Raw data'!$B:$BA,31,FALSE)</f>
        <v>45313</v>
      </c>
      <c r="Y46" s="584" t="str">
        <f>VLOOKUP(A46,'[1]Raw data'!$B:$AS,39,FALSE)</f>
        <v>Yes</v>
      </c>
      <c r="Z46" s="577"/>
      <c r="AA46" s="578"/>
      <c r="AB46" s="579"/>
      <c r="AC46" s="584"/>
      <c r="AD46" s="580">
        <v>303</v>
      </c>
      <c r="AE46" s="580">
        <v>5</v>
      </c>
      <c r="AF46" s="580"/>
      <c r="AG46" s="580"/>
      <c r="AH46" s="580"/>
      <c r="AI46" s="581"/>
      <c r="AN46" s="548"/>
      <c r="AO46" s="612" t="str">
        <f t="shared" si="14"/>
        <v>Yes</v>
      </c>
      <c r="AP46" s="260" t="str">
        <f t="shared" si="12"/>
        <v>blank</v>
      </c>
      <c r="AQ46" s="548" t="str">
        <f t="shared" si="4"/>
        <v>有定金+无客戶送貨期</v>
      </c>
      <c r="AR46" s="260" t="str">
        <f t="shared" si="13"/>
        <v>Incoming_Stock_No_YAMAHA_Schedule</v>
      </c>
      <c r="AS46" s="260" t="str">
        <f t="shared" si="6"/>
        <v/>
      </c>
    </row>
    <row r="47" spans="1:45" hidden="1">
      <c r="A47" s="565">
        <v>2072</v>
      </c>
      <c r="B47" s="588" t="s">
        <v>1703</v>
      </c>
      <c r="C47" s="588" t="s">
        <v>212</v>
      </c>
      <c r="D47" s="589" t="s">
        <v>1862</v>
      </c>
      <c r="E47" s="593" t="s">
        <v>1848</v>
      </c>
      <c r="F47" s="584" t="s">
        <v>18</v>
      </c>
      <c r="G47" s="584" t="s">
        <v>19</v>
      </c>
      <c r="H47" s="584" t="s">
        <v>1849</v>
      </c>
      <c r="I47" s="580"/>
      <c r="J47" s="580">
        <v>1</v>
      </c>
      <c r="K47" s="584"/>
      <c r="L47" s="591" t="s">
        <v>1748</v>
      </c>
      <c r="M47" s="585"/>
      <c r="N47" s="576"/>
      <c r="O47" s="570"/>
      <c r="P47" s="585" t="str">
        <f>VLOOKUP(A47,'[1]Raw data'!$B:$BA,23,FALSE)</f>
        <v>JPY</v>
      </c>
      <c r="Q47" s="584" t="str">
        <f>VLOOKUP(A47,'[1]Raw data'!$B:$Z,2,FALSE)</f>
        <v>C49SZX20230009MZ</v>
      </c>
      <c r="R47" s="584" t="str">
        <f>VLOOKUP(A47,'[1]Raw data'!$B:$Z,3,FALSE)</f>
        <v>鸿楠</v>
      </c>
      <c r="S47" s="584" t="str">
        <f>VLOOKUP(A47,'[1]Raw data'!$B:$Z,4,FALSE)</f>
        <v>YSM10</v>
      </c>
      <c r="T47" s="584" t="str">
        <f>VLOOKUP(A47,'[1]Raw data'!$B:$Z,8,FALSE)</f>
        <v>R-&gt;L</v>
      </c>
      <c r="U47" s="584" t="str">
        <f>VLOOKUP(A47,'[1]Raw data'!$B:$Z,9,FALSE)</f>
        <v>MVC</v>
      </c>
      <c r="V47" s="583" t="str">
        <f t="shared" si="17"/>
        <v>WRONG</v>
      </c>
      <c r="W47" s="592" t="str">
        <f>VLOOKUP(A47,'[1]Raw data'!$B:$AG,32,FALSE)</f>
        <v>CIF HK</v>
      </c>
      <c r="X47" s="591">
        <f>VLOOKUP(A47,'[1]Raw data'!$B:$BA,31,FALSE)</f>
        <v>45313</v>
      </c>
      <c r="Y47" s="584" t="str">
        <f>VLOOKUP(A47,'[1]Raw data'!$B:$AS,39,FALSE)</f>
        <v>Yes</v>
      </c>
      <c r="Z47" s="577"/>
      <c r="AA47" s="578"/>
      <c r="AB47" s="579"/>
      <c r="AC47" s="584"/>
      <c r="AD47" s="580">
        <v>303</v>
      </c>
      <c r="AE47" s="580">
        <v>10</v>
      </c>
      <c r="AF47" s="580"/>
      <c r="AG47" s="580"/>
      <c r="AH47" s="580"/>
      <c r="AI47" s="581"/>
      <c r="AN47" s="548"/>
      <c r="AO47" s="612" t="str">
        <f t="shared" si="14"/>
        <v>Yes</v>
      </c>
      <c r="AP47" s="260" t="str">
        <f t="shared" si="12"/>
        <v>blank</v>
      </c>
      <c r="AQ47" s="548" t="str">
        <f t="shared" si="4"/>
        <v>有定金+无客戶送貨期</v>
      </c>
      <c r="AR47" s="260" t="str">
        <f t="shared" si="13"/>
        <v>Incoming_Stock_No_YAMAHA_Schedule</v>
      </c>
      <c r="AS47" s="260" t="str">
        <f t="shared" si="6"/>
        <v/>
      </c>
    </row>
    <row r="48" spans="1:45" hidden="1">
      <c r="B48" s="588" t="s">
        <v>1703</v>
      </c>
      <c r="C48" s="588" t="s">
        <v>212</v>
      </c>
      <c r="D48" s="589" t="s">
        <v>1862</v>
      </c>
      <c r="E48" s="593" t="s">
        <v>1848</v>
      </c>
      <c r="F48" s="584" t="s">
        <v>18</v>
      </c>
      <c r="G48" s="584" t="s">
        <v>19</v>
      </c>
      <c r="H48" s="584" t="s">
        <v>28</v>
      </c>
      <c r="I48" s="580"/>
      <c r="J48" s="580">
        <v>1</v>
      </c>
      <c r="K48" s="584"/>
      <c r="L48" s="591" t="s">
        <v>1748</v>
      </c>
      <c r="M48" s="585"/>
      <c r="N48" s="576"/>
      <c r="O48" s="570"/>
      <c r="P48" s="585" t="e">
        <f>VLOOKUP(A48,'[1]Raw data'!$B:$BA,23,FALSE)</f>
        <v>#N/A</v>
      </c>
      <c r="Q48" s="584" t="e">
        <f>VLOOKUP(A48,'[1]Raw data'!$B:$Z,2,FALSE)</f>
        <v>#N/A</v>
      </c>
      <c r="R48" s="584" t="e">
        <f>VLOOKUP(A48,'[1]Raw data'!$B:$Z,3,FALSE)</f>
        <v>#N/A</v>
      </c>
      <c r="S48" s="584" t="e">
        <f>VLOOKUP(A48,'[1]Raw data'!$B:$Z,4,FALSE)</f>
        <v>#N/A</v>
      </c>
      <c r="T48" s="584" t="e">
        <f>VLOOKUP(A48,'[1]Raw data'!$B:$Z,8,FALSE)</f>
        <v>#N/A</v>
      </c>
      <c r="U48" s="584" t="e">
        <f>VLOOKUP(A48,'[1]Raw data'!$B:$Z,9,FALSE)</f>
        <v>#N/A</v>
      </c>
      <c r="V48" s="583" t="e">
        <f t="shared" si="17"/>
        <v>#N/A</v>
      </c>
      <c r="W48" s="592" t="e">
        <f>VLOOKUP(A48,'[1]Raw data'!$B:$AG,32,FALSE)</f>
        <v>#N/A</v>
      </c>
      <c r="X48" s="591" t="e">
        <f>VLOOKUP(A48,'[1]Raw data'!$B:$BA,31,FALSE)</f>
        <v>#N/A</v>
      </c>
      <c r="Y48" s="584" t="e">
        <f>VLOOKUP(A48,'[1]Raw data'!$B:$AS,39,FALSE)</f>
        <v>#N/A</v>
      </c>
      <c r="Z48" s="577"/>
      <c r="AA48" s="578"/>
      <c r="AB48" s="579"/>
      <c r="AC48" s="584"/>
      <c r="AD48" s="580">
        <v>303</v>
      </c>
      <c r="AE48" s="580">
        <v>10</v>
      </c>
      <c r="AF48" s="580"/>
      <c r="AG48" s="580"/>
      <c r="AH48" s="580"/>
      <c r="AI48" s="581"/>
      <c r="AN48" s="548"/>
      <c r="AO48" s="612" t="str">
        <f t="shared" si="14"/>
        <v>NA</v>
      </c>
      <c r="AP48" s="260" t="str">
        <f t="shared" si="12"/>
        <v>blank</v>
      </c>
      <c r="AQ48" s="548" t="str">
        <f t="shared" si="4"/>
        <v>无定金+无客戶送貨期</v>
      </c>
      <c r="AR48" s="260" t="str">
        <f t="shared" si="13"/>
        <v>Incoming_Stock_No_YAMAHA_Schedule</v>
      </c>
      <c r="AS48" s="260" t="str">
        <f t="shared" si="6"/>
        <v/>
      </c>
    </row>
    <row r="49" spans="1:45" hidden="1">
      <c r="A49" s="565">
        <v>2077</v>
      </c>
      <c r="B49" s="588" t="s">
        <v>1703</v>
      </c>
      <c r="C49" s="588" t="s">
        <v>1472</v>
      </c>
      <c r="D49" s="589" t="s">
        <v>1860</v>
      </c>
      <c r="E49" s="590" t="s">
        <v>239</v>
      </c>
      <c r="F49" s="584" t="s">
        <v>137</v>
      </c>
      <c r="G49" s="584" t="s">
        <v>25</v>
      </c>
      <c r="H49" s="584" t="s">
        <v>27</v>
      </c>
      <c r="I49" s="580"/>
      <c r="J49" s="580">
        <v>1</v>
      </c>
      <c r="K49" s="584"/>
      <c r="L49" s="591" t="s">
        <v>1748</v>
      </c>
      <c r="M49" s="585"/>
      <c r="N49" s="576"/>
      <c r="O49" s="570"/>
      <c r="P49" s="585" t="str">
        <f>VLOOKUP(A49,'[1]Raw data'!$B:$BA,23,FALSE)</f>
        <v>JPY</v>
      </c>
      <c r="Q49" s="584" t="str">
        <f>VLOOKUP(A49,'[1]Raw data'!$B:$Z,2,FALSE)</f>
        <v>C28SZX20240011MZ</v>
      </c>
      <c r="R49" s="584" t="str">
        <f>VLOOKUP(A49,'[1]Raw data'!$B:$Z,3,FALSE)</f>
        <v>鸿楠</v>
      </c>
      <c r="S49" s="584" t="str">
        <f>VLOOKUP(A49,'[1]Raw data'!$B:$Z,4,FALSE)</f>
        <v>YSi-V</v>
      </c>
      <c r="T49" s="584" t="str">
        <f>VLOOKUP(A49,'[1]Raw data'!$B:$Z,8,FALSE)</f>
        <v>R-&gt;L</v>
      </c>
      <c r="U49" s="584" t="str">
        <f>VLOOKUP(A49,'[1]Raw data'!$B:$Z,9,FALSE)</f>
        <v>No</v>
      </c>
      <c r="V49" s="583" t="str">
        <f t="shared" ref="V49" si="18">IF(G49&amp;H49=T49&amp;U49,"OK","WRONG")</f>
        <v>WRONG</v>
      </c>
      <c r="W49" s="592" t="str">
        <f>VLOOKUP(A49,'[1]Raw data'!$B:$AG,32,FALSE)</f>
        <v>CIF HK</v>
      </c>
      <c r="X49" s="591">
        <f>VLOOKUP(A49,'[1]Raw data'!$B:$BA,31,FALSE)</f>
        <v>45313</v>
      </c>
      <c r="Y49" s="584" t="str">
        <f>VLOOKUP(A49,'[1]Raw data'!$B:$AS,39,FALSE)</f>
        <v>Yes</v>
      </c>
      <c r="Z49" s="577"/>
      <c r="AA49" s="578"/>
      <c r="AB49" s="579"/>
      <c r="AC49" s="584"/>
      <c r="AD49" s="580"/>
      <c r="AE49" s="580"/>
      <c r="AF49" s="580"/>
      <c r="AG49" s="580"/>
      <c r="AH49" s="580"/>
      <c r="AI49" s="581"/>
      <c r="AN49" s="548"/>
      <c r="AO49" s="612" t="str">
        <f t="shared" ref="AO49" si="19">IFERROR(IF(Y49&lt;&gt;"",Y49,"blank"),"NA")</f>
        <v>Yes</v>
      </c>
      <c r="AP49" s="260" t="str">
        <f t="shared" ref="AP49" si="20">IFERROR(IF(N49&lt;&gt;"",N49,"blank"),"NA")</f>
        <v>blank</v>
      </c>
      <c r="AQ49" s="548" t="str">
        <f t="shared" si="4"/>
        <v>有定金+无客戶送貨期</v>
      </c>
      <c r="AR49" s="260" t="str">
        <f t="shared" si="13"/>
        <v>Incoming_Stock_No_YAMAHA_Schedule</v>
      </c>
      <c r="AS49" s="260" t="str">
        <f t="shared" si="6"/>
        <v/>
      </c>
    </row>
    <row r="50" spans="1:45" hidden="1">
      <c r="B50" s="588" t="s">
        <v>1703</v>
      </c>
      <c r="C50" s="588" t="s">
        <v>212</v>
      </c>
      <c r="D50" s="589" t="s">
        <v>1881</v>
      </c>
      <c r="E50" s="593" t="s">
        <v>167</v>
      </c>
      <c r="F50" s="584" t="s">
        <v>55</v>
      </c>
      <c r="G50" s="584" t="s">
        <v>25</v>
      </c>
      <c r="H50" s="584" t="s">
        <v>27</v>
      </c>
      <c r="I50" s="580"/>
      <c r="J50" s="580">
        <v>1</v>
      </c>
      <c r="K50" s="584"/>
      <c r="L50" s="591" t="s">
        <v>1876</v>
      </c>
      <c r="M50" s="585">
        <v>4.8899999999999999E-2</v>
      </c>
      <c r="N50" s="576"/>
      <c r="O50" s="570"/>
      <c r="P50" s="585" t="e">
        <f>VLOOKUP(A50,'[1]Raw data'!$B:$BA,23,FALSE)</f>
        <v>#N/A</v>
      </c>
      <c r="Q50" s="584" t="e">
        <f>VLOOKUP(A50,'[1]Raw data'!$B:$Z,2,FALSE)</f>
        <v>#N/A</v>
      </c>
      <c r="R50" s="584" t="e">
        <f>VLOOKUP(A50,'[1]Raw data'!$B:$Z,3,FALSE)</f>
        <v>#N/A</v>
      </c>
      <c r="S50" s="584" t="e">
        <f>VLOOKUP(A50,'[1]Raw data'!$B:$Z,4,FALSE)</f>
        <v>#N/A</v>
      </c>
      <c r="T50" s="584" t="e">
        <f>VLOOKUP(A50,'[1]Raw data'!$B:$Z,8,FALSE)</f>
        <v>#N/A</v>
      </c>
      <c r="U50" s="584" t="e">
        <f>VLOOKUP(A50,'[1]Raw data'!$B:$Z,9,FALSE)</f>
        <v>#N/A</v>
      </c>
      <c r="V50" s="583" t="e">
        <f t="shared" ref="V50:V56" si="21">IF(G50&amp;H50=T50&amp;U50,"OK","WRONG")</f>
        <v>#N/A</v>
      </c>
      <c r="W50" s="592" t="e">
        <f>VLOOKUP(A50,'[1]Raw data'!$B:$AG,32,FALSE)</f>
        <v>#N/A</v>
      </c>
      <c r="X50" s="591" t="e">
        <f>VLOOKUP(A50,'[1]Raw data'!$B:$BA,31,FALSE)</f>
        <v>#N/A</v>
      </c>
      <c r="Y50" s="584" t="e">
        <f>VLOOKUP(A50,'[1]Raw data'!$B:$AS,39,FALSE)</f>
        <v>#N/A</v>
      </c>
      <c r="Z50" s="577"/>
      <c r="AA50" s="578"/>
      <c r="AB50" s="579"/>
      <c r="AC50" s="584"/>
      <c r="AD50" s="580">
        <v>301</v>
      </c>
      <c r="AE50" s="580">
        <v>10</v>
      </c>
      <c r="AF50" s="580">
        <v>311</v>
      </c>
      <c r="AG50" s="580">
        <v>10</v>
      </c>
      <c r="AH50" s="580"/>
      <c r="AI50" s="581"/>
      <c r="AN50" s="548"/>
      <c r="AO50" s="612" t="str">
        <f t="shared" ref="AO50:AO56" si="22">IFERROR(IF(Y50&lt;&gt;"",Y50,"blank"),"NA")</f>
        <v>NA</v>
      </c>
      <c r="AP50" s="260" t="str">
        <f t="shared" ref="AP50:AP56" si="23">IFERROR(IF(N50&lt;&gt;"",N50,"blank"),"NA")</f>
        <v>blank</v>
      </c>
      <c r="AQ50" s="548" t="str">
        <f t="shared" si="4"/>
        <v>无定金+无客戶送貨期</v>
      </c>
      <c r="AR50" s="260" t="str">
        <f t="shared" si="13"/>
        <v>Incoming_Stock_No_YAMAHA_Schedule</v>
      </c>
      <c r="AS50" s="260" t="str">
        <f t="shared" si="6"/>
        <v/>
      </c>
    </row>
    <row r="51" spans="1:45" hidden="1">
      <c r="B51" s="588" t="s">
        <v>1703</v>
      </c>
      <c r="C51" s="588" t="s">
        <v>212</v>
      </c>
      <c r="D51" s="589" t="s">
        <v>1881</v>
      </c>
      <c r="E51" s="593" t="s">
        <v>167</v>
      </c>
      <c r="F51" s="584" t="s">
        <v>55</v>
      </c>
      <c r="G51" s="584" t="s">
        <v>25</v>
      </c>
      <c r="H51" s="584" t="s">
        <v>27</v>
      </c>
      <c r="I51" s="580"/>
      <c r="J51" s="580">
        <v>1</v>
      </c>
      <c r="K51" s="584"/>
      <c r="L51" s="591" t="s">
        <v>1876</v>
      </c>
      <c r="M51" s="585">
        <v>4.8899999999999999E-2</v>
      </c>
      <c r="N51" s="576"/>
      <c r="O51" s="570"/>
      <c r="P51" s="585" t="e">
        <f>VLOOKUP(A51,'[1]Raw data'!$B:$BA,23,FALSE)</f>
        <v>#N/A</v>
      </c>
      <c r="Q51" s="584" t="e">
        <f>VLOOKUP(A51,'[1]Raw data'!$B:$Z,2,FALSE)</f>
        <v>#N/A</v>
      </c>
      <c r="R51" s="584" t="e">
        <f>VLOOKUP(A51,'[1]Raw data'!$B:$Z,3,FALSE)</f>
        <v>#N/A</v>
      </c>
      <c r="S51" s="584" t="e">
        <f>VLOOKUP(A51,'[1]Raw data'!$B:$Z,4,FALSE)</f>
        <v>#N/A</v>
      </c>
      <c r="T51" s="584" t="e">
        <f>VLOOKUP(A51,'[1]Raw data'!$B:$Z,8,FALSE)</f>
        <v>#N/A</v>
      </c>
      <c r="U51" s="584" t="e">
        <f>VLOOKUP(A51,'[1]Raw data'!$B:$Z,9,FALSE)</f>
        <v>#N/A</v>
      </c>
      <c r="V51" s="583" t="e">
        <f t="shared" si="21"/>
        <v>#N/A</v>
      </c>
      <c r="W51" s="592" t="e">
        <f>VLOOKUP(A51,'[1]Raw data'!$B:$AG,32,FALSE)</f>
        <v>#N/A</v>
      </c>
      <c r="X51" s="591" t="e">
        <f>VLOOKUP(A51,'[1]Raw data'!$B:$BA,31,FALSE)</f>
        <v>#N/A</v>
      </c>
      <c r="Y51" s="584" t="e">
        <f>VLOOKUP(A51,'[1]Raw data'!$B:$AS,39,FALSE)</f>
        <v>#N/A</v>
      </c>
      <c r="Z51" s="577"/>
      <c r="AA51" s="578"/>
      <c r="AB51" s="579"/>
      <c r="AC51" s="584"/>
      <c r="AD51" s="580">
        <v>301</v>
      </c>
      <c r="AE51" s="580">
        <v>10</v>
      </c>
      <c r="AF51" s="580">
        <v>311</v>
      </c>
      <c r="AG51" s="580">
        <v>10</v>
      </c>
      <c r="AH51" s="580"/>
      <c r="AI51" s="581"/>
      <c r="AN51" s="548"/>
      <c r="AO51" s="612" t="str">
        <f t="shared" si="22"/>
        <v>NA</v>
      </c>
      <c r="AP51" s="260" t="str">
        <f t="shared" si="23"/>
        <v>blank</v>
      </c>
      <c r="AQ51" s="548" t="str">
        <f t="shared" si="4"/>
        <v>无定金+无客戶送貨期</v>
      </c>
      <c r="AR51" s="260" t="str">
        <f t="shared" si="13"/>
        <v>Incoming_Stock_No_YAMAHA_Schedule</v>
      </c>
      <c r="AS51" s="260" t="str">
        <f t="shared" si="6"/>
        <v/>
      </c>
    </row>
    <row r="52" spans="1:45" hidden="1">
      <c r="B52" s="588" t="s">
        <v>1703</v>
      </c>
      <c r="C52" s="588" t="s">
        <v>212</v>
      </c>
      <c r="D52" s="589" t="s">
        <v>1881</v>
      </c>
      <c r="E52" s="593" t="s">
        <v>167</v>
      </c>
      <c r="F52" s="584" t="s">
        <v>55</v>
      </c>
      <c r="G52" s="584" t="s">
        <v>19</v>
      </c>
      <c r="H52" s="584" t="s">
        <v>27</v>
      </c>
      <c r="I52" s="580"/>
      <c r="J52" s="580">
        <v>1</v>
      </c>
      <c r="K52" s="584"/>
      <c r="L52" s="591" t="s">
        <v>1876</v>
      </c>
      <c r="M52" s="585">
        <v>4.8899999999999999E-2</v>
      </c>
      <c r="N52" s="576"/>
      <c r="O52" s="570"/>
      <c r="P52" s="585" t="e">
        <f>VLOOKUP(A52,'[1]Raw data'!$B:$BA,23,FALSE)</f>
        <v>#N/A</v>
      </c>
      <c r="Q52" s="584" t="e">
        <f>VLOOKUP(A52,'[1]Raw data'!$B:$Z,2,FALSE)</f>
        <v>#N/A</v>
      </c>
      <c r="R52" s="584" t="e">
        <f>VLOOKUP(A52,'[1]Raw data'!$B:$Z,3,FALSE)</f>
        <v>#N/A</v>
      </c>
      <c r="S52" s="584" t="e">
        <f>VLOOKUP(A52,'[1]Raw data'!$B:$Z,4,FALSE)</f>
        <v>#N/A</v>
      </c>
      <c r="T52" s="584" t="e">
        <f>VLOOKUP(A52,'[1]Raw data'!$B:$Z,8,FALSE)</f>
        <v>#N/A</v>
      </c>
      <c r="U52" s="584" t="e">
        <f>VLOOKUP(A52,'[1]Raw data'!$B:$Z,9,FALSE)</f>
        <v>#N/A</v>
      </c>
      <c r="V52" s="583" t="e">
        <f>IF(G52&amp;H52=T52&amp;U52,"OK","WRONG")</f>
        <v>#N/A</v>
      </c>
      <c r="W52" s="592" t="e">
        <f>VLOOKUP(A52,'[1]Raw data'!$B:$AG,32,FALSE)</f>
        <v>#N/A</v>
      </c>
      <c r="X52" s="591" t="e">
        <f>VLOOKUP(A52,'[1]Raw data'!$B:$BA,31,FALSE)</f>
        <v>#N/A</v>
      </c>
      <c r="Y52" s="584" t="e">
        <f>VLOOKUP(A52,'[1]Raw data'!$B:$AS,39,FALSE)</f>
        <v>#N/A</v>
      </c>
      <c r="Z52" s="577"/>
      <c r="AA52" s="578"/>
      <c r="AB52" s="579"/>
      <c r="AC52" s="584"/>
      <c r="AD52" s="580">
        <v>301</v>
      </c>
      <c r="AE52" s="580">
        <v>10</v>
      </c>
      <c r="AF52" s="580">
        <v>302</v>
      </c>
      <c r="AG52" s="580">
        <v>10</v>
      </c>
      <c r="AH52" s="580"/>
      <c r="AI52" s="581"/>
      <c r="AN52" s="548"/>
      <c r="AO52" s="612" t="str">
        <f>IFERROR(IF(Y52&lt;&gt;"",Y52,"blank"),"NA")</f>
        <v>NA</v>
      </c>
      <c r="AP52" s="260" t="str">
        <f>IFERROR(IF(N52&lt;&gt;"",N52,"blank"),"NA")</f>
        <v>blank</v>
      </c>
      <c r="AQ52" s="548" t="str">
        <f t="shared" si="4"/>
        <v>无定金+无客戶送貨期</v>
      </c>
      <c r="AR52" s="260" t="str">
        <f t="shared" si="13"/>
        <v>Incoming_Stock_No_YAMAHA_Schedule</v>
      </c>
      <c r="AS52" s="260" t="str">
        <f t="shared" si="6"/>
        <v/>
      </c>
    </row>
    <row r="53" spans="1:45" hidden="1">
      <c r="B53" s="588" t="s">
        <v>1703</v>
      </c>
      <c r="C53" s="588" t="s">
        <v>212</v>
      </c>
      <c r="D53" s="589">
        <v>111547</v>
      </c>
      <c r="E53" s="593" t="s">
        <v>167</v>
      </c>
      <c r="F53" s="584" t="s">
        <v>55</v>
      </c>
      <c r="G53" s="584" t="s">
        <v>25</v>
      </c>
      <c r="H53" s="584" t="s">
        <v>27</v>
      </c>
      <c r="I53" s="580"/>
      <c r="J53" s="580">
        <v>1</v>
      </c>
      <c r="K53" s="584"/>
      <c r="L53" s="591" t="s">
        <v>1876</v>
      </c>
      <c r="M53" s="585"/>
      <c r="N53" s="576"/>
      <c r="O53" s="570"/>
      <c r="P53" s="585" t="e">
        <f>VLOOKUP(A53,'[1]Raw data'!$B:$BA,23,FALSE)</f>
        <v>#N/A</v>
      </c>
      <c r="Q53" s="584" t="e">
        <f>VLOOKUP(A53,'[1]Raw data'!$B:$Z,2,FALSE)</f>
        <v>#N/A</v>
      </c>
      <c r="R53" s="584" t="e">
        <f>VLOOKUP(A53,'[1]Raw data'!$B:$Z,3,FALSE)</f>
        <v>#N/A</v>
      </c>
      <c r="S53" s="584" t="e">
        <f>VLOOKUP(A53,'[1]Raw data'!$B:$Z,4,FALSE)</f>
        <v>#N/A</v>
      </c>
      <c r="T53" s="584" t="e">
        <f>VLOOKUP(A53,'[1]Raw data'!$B:$Z,8,FALSE)</f>
        <v>#N/A</v>
      </c>
      <c r="U53" s="584" t="e">
        <f>VLOOKUP(A53,'[1]Raw data'!$B:$Z,9,FALSE)</f>
        <v>#N/A</v>
      </c>
      <c r="V53" s="583" t="e">
        <f t="shared" si="21"/>
        <v>#N/A</v>
      </c>
      <c r="W53" s="592" t="e">
        <f>VLOOKUP(A53,'[1]Raw data'!$B:$AG,32,FALSE)</f>
        <v>#N/A</v>
      </c>
      <c r="X53" s="591" t="e">
        <f>VLOOKUP(A53,'[1]Raw data'!$B:$BA,31,FALSE)</f>
        <v>#N/A</v>
      </c>
      <c r="Y53" s="584" t="e">
        <f>VLOOKUP(A53,'[1]Raw data'!$B:$AS,39,FALSE)</f>
        <v>#N/A</v>
      </c>
      <c r="Z53" s="577"/>
      <c r="AA53" s="578"/>
      <c r="AB53" s="579"/>
      <c r="AC53" s="584"/>
      <c r="AD53" s="580">
        <v>301</v>
      </c>
      <c r="AE53" s="580">
        <v>10</v>
      </c>
      <c r="AF53" s="580">
        <v>303</v>
      </c>
      <c r="AG53" s="580">
        <v>10</v>
      </c>
      <c r="AH53" s="580"/>
      <c r="AI53" s="581"/>
      <c r="AN53" s="548"/>
      <c r="AO53" s="612" t="str">
        <f t="shared" si="22"/>
        <v>NA</v>
      </c>
      <c r="AP53" s="260" t="str">
        <f t="shared" si="23"/>
        <v>blank</v>
      </c>
      <c r="AQ53" s="548" t="str">
        <f t="shared" si="4"/>
        <v>无定金+无客戶送貨期</v>
      </c>
      <c r="AR53" s="260" t="str">
        <f t="shared" si="13"/>
        <v>Incoming_Stock_No_YAMAHA_Schedule</v>
      </c>
      <c r="AS53" s="260" t="str">
        <f t="shared" si="6"/>
        <v/>
      </c>
    </row>
    <row r="54" spans="1:45" hidden="1">
      <c r="B54" s="588" t="s">
        <v>1703</v>
      </c>
      <c r="C54" s="588" t="s">
        <v>212</v>
      </c>
      <c r="D54" s="589">
        <v>111547</v>
      </c>
      <c r="E54" s="593" t="s">
        <v>167</v>
      </c>
      <c r="F54" s="584" t="s">
        <v>55</v>
      </c>
      <c r="G54" s="584" t="s">
        <v>25</v>
      </c>
      <c r="H54" s="584" t="s">
        <v>27</v>
      </c>
      <c r="I54" s="580"/>
      <c r="J54" s="580">
        <v>1</v>
      </c>
      <c r="K54" s="584"/>
      <c r="L54" s="591" t="s">
        <v>1876</v>
      </c>
      <c r="M54" s="585"/>
      <c r="N54" s="576"/>
      <c r="O54" s="570"/>
      <c r="P54" s="585" t="e">
        <f>VLOOKUP(A54,'[1]Raw data'!$B:$BA,23,FALSE)</f>
        <v>#N/A</v>
      </c>
      <c r="Q54" s="584" t="e">
        <f>VLOOKUP(A54,'[1]Raw data'!$B:$Z,2,FALSE)</f>
        <v>#N/A</v>
      </c>
      <c r="R54" s="584" t="e">
        <f>VLOOKUP(A54,'[1]Raw data'!$B:$Z,3,FALSE)</f>
        <v>#N/A</v>
      </c>
      <c r="S54" s="584" t="e">
        <f>VLOOKUP(A54,'[1]Raw data'!$B:$Z,4,FALSE)</f>
        <v>#N/A</v>
      </c>
      <c r="T54" s="584" t="e">
        <f>VLOOKUP(A54,'[1]Raw data'!$B:$Z,8,FALSE)</f>
        <v>#N/A</v>
      </c>
      <c r="U54" s="584" t="e">
        <f>VLOOKUP(A54,'[1]Raw data'!$B:$Z,9,FALSE)</f>
        <v>#N/A</v>
      </c>
      <c r="V54" s="583" t="e">
        <f t="shared" si="21"/>
        <v>#N/A</v>
      </c>
      <c r="W54" s="592" t="e">
        <f>VLOOKUP(A54,'[1]Raw data'!$B:$AG,32,FALSE)</f>
        <v>#N/A</v>
      </c>
      <c r="X54" s="591" t="e">
        <f>VLOOKUP(A54,'[1]Raw data'!$B:$BA,31,FALSE)</f>
        <v>#N/A</v>
      </c>
      <c r="Y54" s="584" t="e">
        <f>VLOOKUP(A54,'[1]Raw data'!$B:$AS,39,FALSE)</f>
        <v>#N/A</v>
      </c>
      <c r="Z54" s="577"/>
      <c r="AA54" s="578"/>
      <c r="AB54" s="579"/>
      <c r="AC54" s="584"/>
      <c r="AD54" s="580">
        <v>301</v>
      </c>
      <c r="AE54" s="580">
        <v>10</v>
      </c>
      <c r="AF54" s="580">
        <v>303</v>
      </c>
      <c r="AG54" s="580">
        <v>10</v>
      </c>
      <c r="AH54" s="580"/>
      <c r="AI54" s="581"/>
      <c r="AN54" s="548"/>
      <c r="AO54" s="612" t="str">
        <f t="shared" si="22"/>
        <v>NA</v>
      </c>
      <c r="AP54" s="260" t="str">
        <f t="shared" si="23"/>
        <v>blank</v>
      </c>
      <c r="AQ54" s="548" t="str">
        <f t="shared" si="4"/>
        <v>无定金+无客戶送貨期</v>
      </c>
      <c r="AR54" s="260" t="str">
        <f t="shared" si="13"/>
        <v>Incoming_Stock_No_YAMAHA_Schedule</v>
      </c>
      <c r="AS54" s="260" t="str">
        <f t="shared" si="6"/>
        <v/>
      </c>
    </row>
    <row r="55" spans="1:45" hidden="1">
      <c r="B55" s="588" t="s">
        <v>1703</v>
      </c>
      <c r="C55" s="588" t="s">
        <v>212</v>
      </c>
      <c r="D55" s="589">
        <v>111547</v>
      </c>
      <c r="E55" s="593" t="s">
        <v>167</v>
      </c>
      <c r="F55" s="584" t="s">
        <v>55</v>
      </c>
      <c r="G55" s="584" t="s">
        <v>25</v>
      </c>
      <c r="H55" s="584" t="s">
        <v>27</v>
      </c>
      <c r="I55" s="580"/>
      <c r="J55" s="580">
        <v>1</v>
      </c>
      <c r="K55" s="584"/>
      <c r="L55" s="591" t="s">
        <v>1876</v>
      </c>
      <c r="M55" s="585"/>
      <c r="N55" s="576"/>
      <c r="O55" s="570"/>
      <c r="P55" s="585" t="e">
        <f>VLOOKUP(A55,'[1]Raw data'!$B:$BA,23,FALSE)</f>
        <v>#N/A</v>
      </c>
      <c r="Q55" s="584" t="e">
        <f>VLOOKUP(A55,'[1]Raw data'!$B:$Z,2,FALSE)</f>
        <v>#N/A</v>
      </c>
      <c r="R55" s="584" t="e">
        <f>VLOOKUP(A55,'[1]Raw data'!$B:$Z,3,FALSE)</f>
        <v>#N/A</v>
      </c>
      <c r="S55" s="584" t="e">
        <f>VLOOKUP(A55,'[1]Raw data'!$B:$Z,4,FALSE)</f>
        <v>#N/A</v>
      </c>
      <c r="T55" s="584" t="e">
        <f>VLOOKUP(A55,'[1]Raw data'!$B:$Z,8,FALSE)</f>
        <v>#N/A</v>
      </c>
      <c r="U55" s="584" t="e">
        <f>VLOOKUP(A55,'[1]Raw data'!$B:$Z,9,FALSE)</f>
        <v>#N/A</v>
      </c>
      <c r="V55" s="583" t="e">
        <f t="shared" si="21"/>
        <v>#N/A</v>
      </c>
      <c r="W55" s="592" t="e">
        <f>VLOOKUP(A55,'[1]Raw data'!$B:$AG,32,FALSE)</f>
        <v>#N/A</v>
      </c>
      <c r="X55" s="591" t="e">
        <f>VLOOKUP(A55,'[1]Raw data'!$B:$BA,31,FALSE)</f>
        <v>#N/A</v>
      </c>
      <c r="Y55" s="584" t="e">
        <f>VLOOKUP(A55,'[1]Raw data'!$B:$AS,39,FALSE)</f>
        <v>#N/A</v>
      </c>
      <c r="Z55" s="577"/>
      <c r="AA55" s="578"/>
      <c r="AB55" s="579"/>
      <c r="AC55" s="584"/>
      <c r="AD55" s="580">
        <v>301</v>
      </c>
      <c r="AE55" s="580">
        <v>10</v>
      </c>
      <c r="AF55" s="580">
        <v>303</v>
      </c>
      <c r="AG55" s="580">
        <v>10</v>
      </c>
      <c r="AH55" s="580"/>
      <c r="AI55" s="581"/>
      <c r="AN55" s="548"/>
      <c r="AO55" s="612" t="str">
        <f t="shared" si="22"/>
        <v>NA</v>
      </c>
      <c r="AP55" s="260" t="str">
        <f t="shared" si="23"/>
        <v>blank</v>
      </c>
      <c r="AQ55" s="548" t="str">
        <f t="shared" si="4"/>
        <v>无定金+无客戶送貨期</v>
      </c>
      <c r="AR55" s="260" t="str">
        <f t="shared" si="13"/>
        <v>Incoming_Stock_No_YAMAHA_Schedule</v>
      </c>
      <c r="AS55" s="260" t="str">
        <f t="shared" si="6"/>
        <v/>
      </c>
    </row>
    <row r="56" spans="1:45" hidden="1">
      <c r="B56" s="588" t="s">
        <v>1703</v>
      </c>
      <c r="C56" s="588" t="s">
        <v>212</v>
      </c>
      <c r="D56" s="589">
        <v>111547</v>
      </c>
      <c r="E56" s="593" t="s">
        <v>167</v>
      </c>
      <c r="F56" s="584" t="s">
        <v>55</v>
      </c>
      <c r="G56" s="584" t="s">
        <v>25</v>
      </c>
      <c r="H56" s="584" t="s">
        <v>27</v>
      </c>
      <c r="I56" s="580"/>
      <c r="J56" s="580">
        <v>1</v>
      </c>
      <c r="K56" s="584"/>
      <c r="L56" s="591" t="s">
        <v>1876</v>
      </c>
      <c r="M56" s="585"/>
      <c r="N56" s="576"/>
      <c r="O56" s="570"/>
      <c r="P56" s="585" t="e">
        <f>VLOOKUP(A56,'[1]Raw data'!$B:$BA,23,FALSE)</f>
        <v>#N/A</v>
      </c>
      <c r="Q56" s="584" t="e">
        <f>VLOOKUP(A56,'[1]Raw data'!$B:$Z,2,FALSE)</f>
        <v>#N/A</v>
      </c>
      <c r="R56" s="584" t="e">
        <f>VLOOKUP(A56,'[1]Raw data'!$B:$Z,3,FALSE)</f>
        <v>#N/A</v>
      </c>
      <c r="S56" s="584" t="e">
        <f>VLOOKUP(A56,'[1]Raw data'!$B:$Z,4,FALSE)</f>
        <v>#N/A</v>
      </c>
      <c r="T56" s="584" t="e">
        <f>VLOOKUP(A56,'[1]Raw data'!$B:$Z,8,FALSE)</f>
        <v>#N/A</v>
      </c>
      <c r="U56" s="584" t="e">
        <f>VLOOKUP(A56,'[1]Raw data'!$B:$Z,9,FALSE)</f>
        <v>#N/A</v>
      </c>
      <c r="V56" s="583" t="e">
        <f t="shared" si="21"/>
        <v>#N/A</v>
      </c>
      <c r="W56" s="592" t="e">
        <f>VLOOKUP(A56,'[1]Raw data'!$B:$AG,32,FALSE)</f>
        <v>#N/A</v>
      </c>
      <c r="X56" s="591" t="e">
        <f>VLOOKUP(A56,'[1]Raw data'!$B:$BA,31,FALSE)</f>
        <v>#N/A</v>
      </c>
      <c r="Y56" s="584" t="e">
        <f>VLOOKUP(A56,'[1]Raw data'!$B:$AS,39,FALSE)</f>
        <v>#N/A</v>
      </c>
      <c r="Z56" s="577"/>
      <c r="AA56" s="578"/>
      <c r="AB56" s="579"/>
      <c r="AC56" s="584"/>
      <c r="AD56" s="580">
        <v>301</v>
      </c>
      <c r="AE56" s="580">
        <v>10</v>
      </c>
      <c r="AF56" s="580">
        <v>311</v>
      </c>
      <c r="AG56" s="580">
        <v>10</v>
      </c>
      <c r="AH56" s="580"/>
      <c r="AI56" s="581"/>
      <c r="AN56" s="548"/>
      <c r="AO56" s="612" t="str">
        <f t="shared" si="22"/>
        <v>NA</v>
      </c>
      <c r="AP56" s="260" t="str">
        <f t="shared" si="23"/>
        <v>blank</v>
      </c>
      <c r="AQ56" s="548" t="str">
        <f t="shared" si="4"/>
        <v>无定金+无客戶送貨期</v>
      </c>
      <c r="AR56" s="260" t="str">
        <f t="shared" si="13"/>
        <v>Incoming_Stock_No_YAMAHA_Schedule</v>
      </c>
      <c r="AS56" s="260" t="str">
        <f t="shared" si="6"/>
        <v/>
      </c>
    </row>
    <row r="57" spans="1:45" hidden="1">
      <c r="B57" s="588" t="s">
        <v>1703</v>
      </c>
      <c r="C57" s="588" t="s">
        <v>212</v>
      </c>
      <c r="D57" s="589">
        <v>111547</v>
      </c>
      <c r="E57" s="593" t="s">
        <v>167</v>
      </c>
      <c r="F57" s="584" t="s">
        <v>55</v>
      </c>
      <c r="G57" s="584" t="s">
        <v>25</v>
      </c>
      <c r="H57" s="584" t="s">
        <v>27</v>
      </c>
      <c r="I57" s="580"/>
      <c r="J57" s="580">
        <v>1</v>
      </c>
      <c r="K57" s="584"/>
      <c r="L57" s="591" t="s">
        <v>1876</v>
      </c>
      <c r="M57" s="585"/>
      <c r="N57" s="576"/>
      <c r="O57" s="570"/>
      <c r="P57" s="585" t="e">
        <f>VLOOKUP(A57,'[1]Raw data'!$B:$BA,23,FALSE)</f>
        <v>#N/A</v>
      </c>
      <c r="Q57" s="584" t="e">
        <f>VLOOKUP(A57,'[1]Raw data'!$B:$Z,2,FALSE)</f>
        <v>#N/A</v>
      </c>
      <c r="R57" s="584" t="e">
        <f>VLOOKUP(A57,'[1]Raw data'!$B:$Z,3,FALSE)</f>
        <v>#N/A</v>
      </c>
      <c r="S57" s="584" t="e">
        <f>VLOOKUP(A57,'[1]Raw data'!$B:$Z,4,FALSE)</f>
        <v>#N/A</v>
      </c>
      <c r="T57" s="584" t="e">
        <f>VLOOKUP(A57,'[1]Raw data'!$B:$Z,8,FALSE)</f>
        <v>#N/A</v>
      </c>
      <c r="U57" s="584" t="e">
        <f>VLOOKUP(A57,'[1]Raw data'!$B:$Z,9,FALSE)</f>
        <v>#N/A</v>
      </c>
      <c r="V57" s="583" t="e">
        <f t="shared" si="17"/>
        <v>#N/A</v>
      </c>
      <c r="W57" s="592" t="e">
        <f>VLOOKUP(A57,'[1]Raw data'!$B:$AG,32,FALSE)</f>
        <v>#N/A</v>
      </c>
      <c r="X57" s="591" t="e">
        <f>VLOOKUP(A57,'[1]Raw data'!$B:$BA,31,FALSE)</f>
        <v>#N/A</v>
      </c>
      <c r="Y57" s="584" t="e">
        <f>VLOOKUP(A57,'[1]Raw data'!$B:$AS,39,FALSE)</f>
        <v>#N/A</v>
      </c>
      <c r="Z57" s="577"/>
      <c r="AA57" s="578"/>
      <c r="AB57" s="579"/>
      <c r="AC57" s="584"/>
      <c r="AD57" s="580">
        <v>301</v>
      </c>
      <c r="AE57" s="580">
        <v>10</v>
      </c>
      <c r="AF57" s="580">
        <v>302</v>
      </c>
      <c r="AG57" s="580">
        <v>10</v>
      </c>
      <c r="AH57" s="580"/>
      <c r="AI57" s="581"/>
      <c r="AN57" s="548"/>
      <c r="AO57" s="612" t="str">
        <f t="shared" si="14"/>
        <v>NA</v>
      </c>
      <c r="AP57" s="260" t="str">
        <f t="shared" si="12"/>
        <v>blank</v>
      </c>
      <c r="AQ57" s="548" t="str">
        <f t="shared" si="4"/>
        <v>无定金+无客戶送貨期</v>
      </c>
      <c r="AR57" s="260" t="str">
        <f t="shared" si="13"/>
        <v>Incoming_Stock_No_YAMAHA_Schedule</v>
      </c>
      <c r="AS57" s="260" t="str">
        <f t="shared" si="6"/>
        <v/>
      </c>
    </row>
    <row r="58" spans="1:45" hidden="1">
      <c r="B58" s="588" t="s">
        <v>1703</v>
      </c>
      <c r="C58" s="588" t="s">
        <v>212</v>
      </c>
      <c r="D58" s="589">
        <v>111547</v>
      </c>
      <c r="E58" s="593" t="s">
        <v>167</v>
      </c>
      <c r="F58" s="584" t="s">
        <v>55</v>
      </c>
      <c r="G58" s="584" t="s">
        <v>19</v>
      </c>
      <c r="H58" s="584" t="s">
        <v>27</v>
      </c>
      <c r="I58" s="580"/>
      <c r="J58" s="580">
        <v>1</v>
      </c>
      <c r="K58" s="584"/>
      <c r="L58" s="591" t="s">
        <v>1876</v>
      </c>
      <c r="M58" s="585"/>
      <c r="N58" s="576"/>
      <c r="O58" s="570"/>
      <c r="P58" s="585" t="e">
        <f>VLOOKUP(A58,'[1]Raw data'!$B:$BA,23,FALSE)</f>
        <v>#N/A</v>
      </c>
      <c r="Q58" s="584" t="e">
        <f>VLOOKUP(A58,'[1]Raw data'!$B:$Z,2,FALSE)</f>
        <v>#N/A</v>
      </c>
      <c r="R58" s="584" t="e">
        <f>VLOOKUP(A58,'[1]Raw data'!$B:$Z,3,FALSE)</f>
        <v>#N/A</v>
      </c>
      <c r="S58" s="584" t="e">
        <f>VLOOKUP(A58,'[1]Raw data'!$B:$Z,4,FALSE)</f>
        <v>#N/A</v>
      </c>
      <c r="T58" s="584" t="e">
        <f>VLOOKUP(A58,'[1]Raw data'!$B:$Z,8,FALSE)</f>
        <v>#N/A</v>
      </c>
      <c r="U58" s="584" t="e">
        <f>VLOOKUP(A58,'[1]Raw data'!$B:$Z,9,FALSE)</f>
        <v>#N/A</v>
      </c>
      <c r="V58" s="583" t="e">
        <f t="shared" ref="V58:V76" si="24">IF(G58&amp;H58=T58&amp;U58,"OK","WRONG")</f>
        <v>#N/A</v>
      </c>
      <c r="W58" s="592" t="e">
        <f>VLOOKUP(A58,'[1]Raw data'!$B:$AG,32,FALSE)</f>
        <v>#N/A</v>
      </c>
      <c r="X58" s="591" t="e">
        <f>VLOOKUP(A58,'[1]Raw data'!$B:$BA,31,FALSE)</f>
        <v>#N/A</v>
      </c>
      <c r="Y58" s="584" t="e">
        <f>VLOOKUP(A58,'[1]Raw data'!$B:$AS,39,FALSE)</f>
        <v>#N/A</v>
      </c>
      <c r="Z58" s="577"/>
      <c r="AA58" s="578"/>
      <c r="AB58" s="579"/>
      <c r="AC58" s="584"/>
      <c r="AD58" s="580">
        <v>301</v>
      </c>
      <c r="AE58" s="580">
        <v>10</v>
      </c>
      <c r="AF58" s="580">
        <v>302</v>
      </c>
      <c r="AG58" s="580">
        <v>10</v>
      </c>
      <c r="AH58" s="580"/>
      <c r="AI58" s="581"/>
      <c r="AN58" s="548"/>
      <c r="AO58" s="612" t="str">
        <f t="shared" si="14"/>
        <v>NA</v>
      </c>
      <c r="AP58" s="260" t="str">
        <f t="shared" si="12"/>
        <v>blank</v>
      </c>
      <c r="AQ58" s="548" t="str">
        <f t="shared" si="4"/>
        <v>无定金+无客戶送貨期</v>
      </c>
      <c r="AR58" s="260" t="str">
        <f t="shared" si="13"/>
        <v>Incoming_Stock_No_YAMAHA_Schedule</v>
      </c>
      <c r="AS58" s="260" t="str">
        <f t="shared" si="6"/>
        <v/>
      </c>
    </row>
    <row r="59" spans="1:45" hidden="1">
      <c r="B59" s="588" t="s">
        <v>1703</v>
      </c>
      <c r="C59" s="588" t="s">
        <v>212</v>
      </c>
      <c r="D59" s="589">
        <v>111547</v>
      </c>
      <c r="E59" s="593" t="s">
        <v>167</v>
      </c>
      <c r="F59" s="584" t="s">
        <v>55</v>
      </c>
      <c r="G59" s="584" t="s">
        <v>19</v>
      </c>
      <c r="H59" s="584" t="s">
        <v>27</v>
      </c>
      <c r="I59" s="580"/>
      <c r="J59" s="580">
        <v>1</v>
      </c>
      <c r="K59" s="584"/>
      <c r="L59" s="591" t="s">
        <v>1876</v>
      </c>
      <c r="M59" s="585"/>
      <c r="N59" s="576"/>
      <c r="O59" s="570"/>
      <c r="P59" s="585" t="e">
        <f>VLOOKUP(A59,'[1]Raw data'!$B:$BA,23,FALSE)</f>
        <v>#N/A</v>
      </c>
      <c r="Q59" s="584" t="e">
        <f>VLOOKUP(A59,'[1]Raw data'!$B:$Z,2,FALSE)</f>
        <v>#N/A</v>
      </c>
      <c r="R59" s="584" t="e">
        <f>VLOOKUP(A59,'[1]Raw data'!$B:$Z,3,FALSE)</f>
        <v>#N/A</v>
      </c>
      <c r="S59" s="584" t="e">
        <f>VLOOKUP(A59,'[1]Raw data'!$B:$Z,4,FALSE)</f>
        <v>#N/A</v>
      </c>
      <c r="T59" s="584" t="e">
        <f>VLOOKUP(A59,'[1]Raw data'!$B:$Z,8,FALSE)</f>
        <v>#N/A</v>
      </c>
      <c r="U59" s="584" t="e">
        <f>VLOOKUP(A59,'[1]Raw data'!$B:$Z,9,FALSE)</f>
        <v>#N/A</v>
      </c>
      <c r="V59" s="583" t="e">
        <f t="shared" si="24"/>
        <v>#N/A</v>
      </c>
      <c r="W59" s="592" t="e">
        <f>VLOOKUP(A59,'[1]Raw data'!$B:$AG,32,FALSE)</f>
        <v>#N/A</v>
      </c>
      <c r="X59" s="591" t="e">
        <f>VLOOKUP(A59,'[1]Raw data'!$B:$BA,31,FALSE)</f>
        <v>#N/A</v>
      </c>
      <c r="Y59" s="584" t="e">
        <f>VLOOKUP(A59,'[1]Raw data'!$B:$AS,39,FALSE)</f>
        <v>#N/A</v>
      </c>
      <c r="Z59" s="577"/>
      <c r="AA59" s="578"/>
      <c r="AB59" s="579"/>
      <c r="AC59" s="584"/>
      <c r="AD59" s="580">
        <v>301</v>
      </c>
      <c r="AE59" s="580">
        <v>10</v>
      </c>
      <c r="AF59" s="580">
        <v>302</v>
      </c>
      <c r="AG59" s="580">
        <v>10</v>
      </c>
      <c r="AH59" s="580"/>
      <c r="AI59" s="581"/>
      <c r="AN59" s="548"/>
      <c r="AO59" s="612" t="str">
        <f t="shared" si="14"/>
        <v>NA</v>
      </c>
      <c r="AP59" s="260" t="str">
        <f t="shared" si="12"/>
        <v>blank</v>
      </c>
      <c r="AQ59" s="548" t="str">
        <f t="shared" si="4"/>
        <v>无定金+无客戶送貨期</v>
      </c>
      <c r="AR59" s="260" t="str">
        <f t="shared" si="13"/>
        <v>Incoming_Stock_No_YAMAHA_Schedule</v>
      </c>
      <c r="AS59" s="260" t="str">
        <f t="shared" si="6"/>
        <v/>
      </c>
    </row>
    <row r="60" spans="1:45" hidden="1">
      <c r="B60" s="588" t="s">
        <v>1703</v>
      </c>
      <c r="C60" s="588" t="s">
        <v>212</v>
      </c>
      <c r="D60" s="589" t="s">
        <v>1880</v>
      </c>
      <c r="E60" s="593" t="s">
        <v>167</v>
      </c>
      <c r="F60" s="584" t="s">
        <v>18</v>
      </c>
      <c r="G60" s="584" t="s">
        <v>25</v>
      </c>
      <c r="H60" s="584" t="s">
        <v>20</v>
      </c>
      <c r="I60" s="580"/>
      <c r="J60" s="580">
        <v>1</v>
      </c>
      <c r="K60" s="584"/>
      <c r="L60" s="591" t="s">
        <v>1876</v>
      </c>
      <c r="M60" s="585">
        <v>4.8899999999999999E-2</v>
      </c>
      <c r="N60" s="576"/>
      <c r="O60" s="570"/>
      <c r="P60" s="585" t="e">
        <f>VLOOKUP(A60,'[1]Raw data'!$B:$BA,23,FALSE)</f>
        <v>#N/A</v>
      </c>
      <c r="Q60" s="584" t="e">
        <f>VLOOKUP(A60,'[1]Raw data'!$B:$Z,2,FALSE)</f>
        <v>#N/A</v>
      </c>
      <c r="R60" s="584" t="e">
        <f>VLOOKUP(A60,'[1]Raw data'!$B:$Z,3,FALSE)</f>
        <v>#N/A</v>
      </c>
      <c r="S60" s="584" t="e">
        <f>VLOOKUP(A60,'[1]Raw data'!$B:$Z,4,FALSE)</f>
        <v>#N/A</v>
      </c>
      <c r="T60" s="584" t="e">
        <f>VLOOKUP(A60,'[1]Raw data'!$B:$Z,8,FALSE)</f>
        <v>#N/A</v>
      </c>
      <c r="U60" s="584" t="e">
        <f>VLOOKUP(A60,'[1]Raw data'!$B:$Z,9,FALSE)</f>
        <v>#N/A</v>
      </c>
      <c r="V60" s="583" t="e">
        <f t="shared" si="24"/>
        <v>#N/A</v>
      </c>
      <c r="W60" s="592" t="e">
        <f>VLOOKUP(A60,'[1]Raw data'!$B:$AG,32,FALSE)</f>
        <v>#N/A</v>
      </c>
      <c r="X60" s="591" t="e">
        <f>VLOOKUP(A60,'[1]Raw data'!$B:$BA,31,FALSE)</f>
        <v>#N/A</v>
      </c>
      <c r="Y60" s="584" t="e">
        <f>VLOOKUP(A60,'[1]Raw data'!$B:$AS,39,FALSE)</f>
        <v>#N/A</v>
      </c>
      <c r="Z60" s="577"/>
      <c r="AA60" s="578"/>
      <c r="AB60" s="579"/>
      <c r="AC60" s="584"/>
      <c r="AD60" s="580">
        <v>301</v>
      </c>
      <c r="AE60" s="580">
        <v>5</v>
      </c>
      <c r="AF60" s="580">
        <v>303</v>
      </c>
      <c r="AG60" s="580">
        <v>5</v>
      </c>
      <c r="AH60" s="580"/>
      <c r="AI60" s="581"/>
      <c r="AN60" s="548"/>
      <c r="AO60" s="612" t="str">
        <f t="shared" ref="AO60:AO69" si="25">IFERROR(IF(Y60&lt;&gt;"",Y60,"blank"),"NA")</f>
        <v>NA</v>
      </c>
      <c r="AP60" s="260" t="str">
        <f t="shared" ref="AP60:AP69" si="26">IFERROR(IF(N60&lt;&gt;"",N60,"blank"),"NA")</f>
        <v>blank</v>
      </c>
      <c r="AQ60" s="548" t="str">
        <f t="shared" si="4"/>
        <v>无定金+无客戶送貨期</v>
      </c>
      <c r="AR60" s="260" t="str">
        <f t="shared" si="13"/>
        <v>Incoming_Stock_No_YAMAHA_Schedule</v>
      </c>
      <c r="AS60" s="260" t="str">
        <f t="shared" si="6"/>
        <v/>
      </c>
    </row>
    <row r="61" spans="1:45" hidden="1">
      <c r="B61" s="588" t="s">
        <v>1703</v>
      </c>
      <c r="C61" s="588" t="s">
        <v>212</v>
      </c>
      <c r="D61" s="589" t="s">
        <v>1880</v>
      </c>
      <c r="E61" s="593" t="s">
        <v>167</v>
      </c>
      <c r="F61" s="584" t="s">
        <v>18</v>
      </c>
      <c r="G61" s="584" t="s">
        <v>25</v>
      </c>
      <c r="H61" s="584"/>
      <c r="I61" s="580"/>
      <c r="J61" s="580">
        <v>1</v>
      </c>
      <c r="K61" s="584"/>
      <c r="L61" s="591" t="s">
        <v>1876</v>
      </c>
      <c r="M61" s="585">
        <v>4.8899999999999999E-2</v>
      </c>
      <c r="N61" s="576"/>
      <c r="O61" s="570"/>
      <c r="P61" s="585" t="e">
        <f>VLOOKUP(A61,'[1]Raw data'!$B:$BA,23,FALSE)</f>
        <v>#N/A</v>
      </c>
      <c r="Q61" s="584" t="e">
        <f>VLOOKUP(A61,'[1]Raw data'!$B:$Z,2,FALSE)</f>
        <v>#N/A</v>
      </c>
      <c r="R61" s="584" t="e">
        <f>VLOOKUP(A61,'[1]Raw data'!$B:$Z,3,FALSE)</f>
        <v>#N/A</v>
      </c>
      <c r="S61" s="584" t="e">
        <f>VLOOKUP(A61,'[1]Raw data'!$B:$Z,4,FALSE)</f>
        <v>#N/A</v>
      </c>
      <c r="T61" s="584" t="e">
        <f>VLOOKUP(A61,'[1]Raw data'!$B:$Z,8,FALSE)</f>
        <v>#N/A</v>
      </c>
      <c r="U61" s="584" t="e">
        <f>VLOOKUP(A61,'[1]Raw data'!$B:$Z,9,FALSE)</f>
        <v>#N/A</v>
      </c>
      <c r="V61" s="583" t="e">
        <f>IF(G61&amp;H61=T61&amp;U61,"OK","WRONG")</f>
        <v>#N/A</v>
      </c>
      <c r="W61" s="592" t="e">
        <f>VLOOKUP(A61,'[1]Raw data'!$B:$AG,32,FALSE)</f>
        <v>#N/A</v>
      </c>
      <c r="X61" s="591" t="e">
        <f>VLOOKUP(A61,'[1]Raw data'!$B:$BA,31,FALSE)</f>
        <v>#N/A</v>
      </c>
      <c r="Y61" s="584" t="e">
        <f>VLOOKUP(A61,'[1]Raw data'!$B:$AS,39,FALSE)</f>
        <v>#N/A</v>
      </c>
      <c r="Z61" s="577"/>
      <c r="AA61" s="578"/>
      <c r="AB61" s="579"/>
      <c r="AC61" s="584"/>
      <c r="AD61" s="580">
        <v>301</v>
      </c>
      <c r="AE61" s="580">
        <v>5</v>
      </c>
      <c r="AF61" s="580">
        <v>302</v>
      </c>
      <c r="AG61" s="580">
        <v>5</v>
      </c>
      <c r="AH61" s="580"/>
      <c r="AI61" s="581"/>
      <c r="AN61" s="548"/>
      <c r="AO61" s="612" t="str">
        <f>IFERROR(IF(Y61&lt;&gt;"",Y61,"blank"),"NA")</f>
        <v>NA</v>
      </c>
      <c r="AP61" s="260" t="str">
        <f>IFERROR(IF(N61&lt;&gt;"",N61,"blank"),"NA")</f>
        <v>blank</v>
      </c>
      <c r="AQ61" s="548" t="str">
        <f t="shared" si="4"/>
        <v>无定金+无客戶送貨期</v>
      </c>
      <c r="AR61" s="260" t="str">
        <f t="shared" si="13"/>
        <v>Incoming_Stock_No_YAMAHA_Schedule</v>
      </c>
      <c r="AS61" s="260" t="str">
        <f t="shared" si="6"/>
        <v/>
      </c>
    </row>
    <row r="62" spans="1:45" hidden="1">
      <c r="B62" s="588" t="s">
        <v>1703</v>
      </c>
      <c r="C62" s="588" t="s">
        <v>212</v>
      </c>
      <c r="D62" s="589" t="s">
        <v>1880</v>
      </c>
      <c r="E62" s="593" t="s">
        <v>167</v>
      </c>
      <c r="F62" s="584" t="s">
        <v>18</v>
      </c>
      <c r="G62" s="584" t="s">
        <v>25</v>
      </c>
      <c r="H62" s="584"/>
      <c r="I62" s="580"/>
      <c r="J62" s="580">
        <v>1</v>
      </c>
      <c r="K62" s="584"/>
      <c r="L62" s="591" t="s">
        <v>1876</v>
      </c>
      <c r="M62" s="585">
        <v>4.8899999999999999E-2</v>
      </c>
      <c r="N62" s="576"/>
      <c r="O62" s="570"/>
      <c r="P62" s="585" t="e">
        <f>VLOOKUP(A62,'[1]Raw data'!$B:$BA,23,FALSE)</f>
        <v>#N/A</v>
      </c>
      <c r="Q62" s="584" t="e">
        <f>VLOOKUP(A62,'[1]Raw data'!$B:$Z,2,FALSE)</f>
        <v>#N/A</v>
      </c>
      <c r="R62" s="584" t="e">
        <f>VLOOKUP(A62,'[1]Raw data'!$B:$Z,3,FALSE)</f>
        <v>#N/A</v>
      </c>
      <c r="S62" s="584" t="e">
        <f>VLOOKUP(A62,'[1]Raw data'!$B:$Z,4,FALSE)</f>
        <v>#N/A</v>
      </c>
      <c r="T62" s="584" t="e">
        <f>VLOOKUP(A62,'[1]Raw data'!$B:$Z,8,FALSE)</f>
        <v>#N/A</v>
      </c>
      <c r="U62" s="584" t="e">
        <f>VLOOKUP(A62,'[1]Raw data'!$B:$Z,9,FALSE)</f>
        <v>#N/A</v>
      </c>
      <c r="V62" s="583" t="e">
        <f>IF(G62&amp;H62=T62&amp;U62,"OK","WRONG")</f>
        <v>#N/A</v>
      </c>
      <c r="W62" s="592" t="e">
        <f>VLOOKUP(A62,'[1]Raw data'!$B:$AG,32,FALSE)</f>
        <v>#N/A</v>
      </c>
      <c r="X62" s="591" t="e">
        <f>VLOOKUP(A62,'[1]Raw data'!$B:$BA,31,FALSE)</f>
        <v>#N/A</v>
      </c>
      <c r="Y62" s="584" t="e">
        <f>VLOOKUP(A62,'[1]Raw data'!$B:$AS,39,FALSE)</f>
        <v>#N/A</v>
      </c>
      <c r="Z62" s="577"/>
      <c r="AA62" s="578"/>
      <c r="AB62" s="579"/>
      <c r="AC62" s="584"/>
      <c r="AD62" s="580">
        <v>301</v>
      </c>
      <c r="AE62" s="580">
        <v>5</v>
      </c>
      <c r="AF62" s="580">
        <v>302</v>
      </c>
      <c r="AG62" s="580">
        <v>5</v>
      </c>
      <c r="AH62" s="580"/>
      <c r="AI62" s="581"/>
      <c r="AN62" s="548"/>
      <c r="AO62" s="612" t="str">
        <f>IFERROR(IF(Y62&lt;&gt;"",Y62,"blank"),"NA")</f>
        <v>NA</v>
      </c>
      <c r="AP62" s="260" t="str">
        <f>IFERROR(IF(N62&lt;&gt;"",N62,"blank"),"NA")</f>
        <v>blank</v>
      </c>
      <c r="AQ62" s="548" t="str">
        <f t="shared" si="4"/>
        <v>无定金+无客戶送貨期</v>
      </c>
      <c r="AR62" s="260" t="str">
        <f t="shared" si="13"/>
        <v>Incoming_Stock_No_YAMAHA_Schedule</v>
      </c>
      <c r="AS62" s="260" t="str">
        <f t="shared" si="6"/>
        <v/>
      </c>
    </row>
    <row r="63" spans="1:45" hidden="1">
      <c r="B63" s="588" t="s">
        <v>1703</v>
      </c>
      <c r="C63" s="588" t="s">
        <v>212</v>
      </c>
      <c r="D63" s="589" t="s">
        <v>1880</v>
      </c>
      <c r="E63" s="593" t="s">
        <v>167</v>
      </c>
      <c r="F63" s="584" t="s">
        <v>18</v>
      </c>
      <c r="G63" s="584" t="s">
        <v>25</v>
      </c>
      <c r="H63" s="584"/>
      <c r="I63" s="580"/>
      <c r="J63" s="580">
        <v>1</v>
      </c>
      <c r="K63" s="584"/>
      <c r="L63" s="591" t="s">
        <v>1876</v>
      </c>
      <c r="M63" s="585">
        <v>4.8899999999999999E-2</v>
      </c>
      <c r="N63" s="576"/>
      <c r="O63" s="570"/>
      <c r="P63" s="585" t="e">
        <f>VLOOKUP(A63,'[1]Raw data'!$B:$BA,23,FALSE)</f>
        <v>#N/A</v>
      </c>
      <c r="Q63" s="584" t="e">
        <f>VLOOKUP(A63,'[1]Raw data'!$B:$Z,2,FALSE)</f>
        <v>#N/A</v>
      </c>
      <c r="R63" s="584" t="e">
        <f>VLOOKUP(A63,'[1]Raw data'!$B:$Z,3,FALSE)</f>
        <v>#N/A</v>
      </c>
      <c r="S63" s="584" t="e">
        <f>VLOOKUP(A63,'[1]Raw data'!$B:$Z,4,FALSE)</f>
        <v>#N/A</v>
      </c>
      <c r="T63" s="584" t="e">
        <f>VLOOKUP(A63,'[1]Raw data'!$B:$Z,8,FALSE)</f>
        <v>#N/A</v>
      </c>
      <c r="U63" s="584" t="e">
        <f>VLOOKUP(A63,'[1]Raw data'!$B:$Z,9,FALSE)</f>
        <v>#N/A</v>
      </c>
      <c r="V63" s="583" t="e">
        <f>IF(G63&amp;H63=T63&amp;U63,"OK","WRONG")</f>
        <v>#N/A</v>
      </c>
      <c r="W63" s="592" t="e">
        <f>VLOOKUP(A63,'[1]Raw data'!$B:$AG,32,FALSE)</f>
        <v>#N/A</v>
      </c>
      <c r="X63" s="591" t="e">
        <f>VLOOKUP(A63,'[1]Raw data'!$B:$BA,31,FALSE)</f>
        <v>#N/A</v>
      </c>
      <c r="Y63" s="584" t="e">
        <f>VLOOKUP(A63,'[1]Raw data'!$B:$AS,39,FALSE)</f>
        <v>#N/A</v>
      </c>
      <c r="Z63" s="577"/>
      <c r="AA63" s="578"/>
      <c r="AB63" s="579"/>
      <c r="AC63" s="584"/>
      <c r="AD63" s="580">
        <v>301</v>
      </c>
      <c r="AE63" s="580">
        <v>5</v>
      </c>
      <c r="AF63" s="580">
        <v>302</v>
      </c>
      <c r="AG63" s="580">
        <v>5</v>
      </c>
      <c r="AH63" s="580"/>
      <c r="AI63" s="581"/>
      <c r="AN63" s="548"/>
      <c r="AO63" s="612" t="str">
        <f>IFERROR(IF(Y63&lt;&gt;"",Y63,"blank"),"NA")</f>
        <v>NA</v>
      </c>
      <c r="AP63" s="260" t="str">
        <f>IFERROR(IF(N63&lt;&gt;"",N63,"blank"),"NA")</f>
        <v>blank</v>
      </c>
      <c r="AQ63" s="548" t="str">
        <f t="shared" si="4"/>
        <v>无定金+无客戶送貨期</v>
      </c>
      <c r="AR63" s="260" t="str">
        <f t="shared" si="13"/>
        <v>Incoming_Stock_No_YAMAHA_Schedule</v>
      </c>
      <c r="AS63" s="260" t="str">
        <f t="shared" si="6"/>
        <v/>
      </c>
    </row>
    <row r="64" spans="1:45" hidden="1">
      <c r="B64" s="588" t="s">
        <v>1703</v>
      </c>
      <c r="C64" s="588" t="s">
        <v>212</v>
      </c>
      <c r="D64" s="589">
        <v>111546</v>
      </c>
      <c r="E64" s="593" t="s">
        <v>167</v>
      </c>
      <c r="F64" s="584" t="s">
        <v>18</v>
      </c>
      <c r="G64" s="584" t="s">
        <v>25</v>
      </c>
      <c r="H64" s="584" t="s">
        <v>20</v>
      </c>
      <c r="I64" s="580"/>
      <c r="J64" s="580">
        <v>1</v>
      </c>
      <c r="K64" s="584"/>
      <c r="L64" s="591" t="s">
        <v>1876</v>
      </c>
      <c r="M64" s="585"/>
      <c r="N64" s="576"/>
      <c r="O64" s="570"/>
      <c r="P64" s="585" t="e">
        <f>VLOOKUP(A64,'[1]Raw data'!$B:$BA,23,FALSE)</f>
        <v>#N/A</v>
      </c>
      <c r="Q64" s="584" t="e">
        <f>VLOOKUP(A64,'[1]Raw data'!$B:$Z,2,FALSE)</f>
        <v>#N/A</v>
      </c>
      <c r="R64" s="584" t="e">
        <f>VLOOKUP(A64,'[1]Raw data'!$B:$Z,3,FALSE)</f>
        <v>#N/A</v>
      </c>
      <c r="S64" s="584" t="e">
        <f>VLOOKUP(A64,'[1]Raw data'!$B:$Z,4,FALSE)</f>
        <v>#N/A</v>
      </c>
      <c r="T64" s="584" t="e">
        <f>VLOOKUP(A64,'[1]Raw data'!$B:$Z,8,FALSE)</f>
        <v>#N/A</v>
      </c>
      <c r="U64" s="584" t="e">
        <f>VLOOKUP(A64,'[1]Raw data'!$B:$Z,9,FALSE)</f>
        <v>#N/A</v>
      </c>
      <c r="V64" s="583" t="e">
        <f t="shared" si="24"/>
        <v>#N/A</v>
      </c>
      <c r="W64" s="592" t="e">
        <f>VLOOKUP(A64,'[1]Raw data'!$B:$AG,32,FALSE)</f>
        <v>#N/A</v>
      </c>
      <c r="X64" s="591" t="e">
        <f>VLOOKUP(A64,'[1]Raw data'!$B:$BA,31,FALSE)</f>
        <v>#N/A</v>
      </c>
      <c r="Y64" s="584" t="e">
        <f>VLOOKUP(A64,'[1]Raw data'!$B:$AS,39,FALSE)</f>
        <v>#N/A</v>
      </c>
      <c r="Z64" s="577"/>
      <c r="AA64" s="578"/>
      <c r="AB64" s="579"/>
      <c r="AC64" s="584"/>
      <c r="AD64" s="580">
        <v>301</v>
      </c>
      <c r="AE64" s="580">
        <v>5</v>
      </c>
      <c r="AF64" s="580">
        <v>303</v>
      </c>
      <c r="AG64" s="580">
        <v>5</v>
      </c>
      <c r="AH64" s="580"/>
      <c r="AI64" s="581"/>
      <c r="AN64" s="548"/>
      <c r="AO64" s="612" t="str">
        <f t="shared" si="25"/>
        <v>NA</v>
      </c>
      <c r="AP64" s="260" t="str">
        <f t="shared" si="26"/>
        <v>blank</v>
      </c>
      <c r="AQ64" s="548" t="str">
        <f t="shared" si="4"/>
        <v>无定金+无客戶送貨期</v>
      </c>
      <c r="AR64" s="260" t="str">
        <f t="shared" si="13"/>
        <v>Incoming_Stock_No_YAMAHA_Schedule</v>
      </c>
      <c r="AS64" s="260" t="str">
        <f t="shared" si="6"/>
        <v/>
      </c>
    </row>
    <row r="65" spans="1:45" hidden="1">
      <c r="B65" s="588" t="s">
        <v>1703</v>
      </c>
      <c r="C65" s="588" t="s">
        <v>212</v>
      </c>
      <c r="D65" s="589">
        <v>111546</v>
      </c>
      <c r="E65" s="593" t="s">
        <v>167</v>
      </c>
      <c r="F65" s="584" t="s">
        <v>18</v>
      </c>
      <c r="G65" s="584" t="s">
        <v>25</v>
      </c>
      <c r="H65" s="584" t="s">
        <v>20</v>
      </c>
      <c r="I65" s="580"/>
      <c r="J65" s="580">
        <v>1</v>
      </c>
      <c r="K65" s="584"/>
      <c r="L65" s="591" t="s">
        <v>1876</v>
      </c>
      <c r="M65" s="585"/>
      <c r="N65" s="576"/>
      <c r="O65" s="570"/>
      <c r="P65" s="585" t="e">
        <f>VLOOKUP(A65,'[1]Raw data'!$B:$BA,23,FALSE)</f>
        <v>#N/A</v>
      </c>
      <c r="Q65" s="584" t="e">
        <f>VLOOKUP(A65,'[1]Raw data'!$B:$Z,2,FALSE)</f>
        <v>#N/A</v>
      </c>
      <c r="R65" s="584" t="e">
        <f>VLOOKUP(A65,'[1]Raw data'!$B:$Z,3,FALSE)</f>
        <v>#N/A</v>
      </c>
      <c r="S65" s="584" t="e">
        <f>VLOOKUP(A65,'[1]Raw data'!$B:$Z,4,FALSE)</f>
        <v>#N/A</v>
      </c>
      <c r="T65" s="584" t="e">
        <f>VLOOKUP(A65,'[1]Raw data'!$B:$Z,8,FALSE)</f>
        <v>#N/A</v>
      </c>
      <c r="U65" s="584" t="e">
        <f>VLOOKUP(A65,'[1]Raw data'!$B:$Z,9,FALSE)</f>
        <v>#N/A</v>
      </c>
      <c r="V65" s="583" t="e">
        <f t="shared" si="24"/>
        <v>#N/A</v>
      </c>
      <c r="W65" s="592" t="e">
        <f>VLOOKUP(A65,'[1]Raw data'!$B:$AG,32,FALSE)</f>
        <v>#N/A</v>
      </c>
      <c r="X65" s="591" t="e">
        <f>VLOOKUP(A65,'[1]Raw data'!$B:$BA,31,FALSE)</f>
        <v>#N/A</v>
      </c>
      <c r="Y65" s="584" t="e">
        <f>VLOOKUP(A65,'[1]Raw data'!$B:$AS,39,FALSE)</f>
        <v>#N/A</v>
      </c>
      <c r="Z65" s="577"/>
      <c r="AA65" s="578"/>
      <c r="AB65" s="579"/>
      <c r="AC65" s="584"/>
      <c r="AD65" s="580">
        <v>301</v>
      </c>
      <c r="AE65" s="580">
        <v>5</v>
      </c>
      <c r="AF65" s="580">
        <v>303</v>
      </c>
      <c r="AG65" s="580">
        <v>5</v>
      </c>
      <c r="AH65" s="580"/>
      <c r="AI65" s="581"/>
      <c r="AN65" s="548"/>
      <c r="AO65" s="612" t="str">
        <f t="shared" si="25"/>
        <v>NA</v>
      </c>
      <c r="AP65" s="260" t="str">
        <f t="shared" si="26"/>
        <v>blank</v>
      </c>
      <c r="AQ65" s="548" t="str">
        <f t="shared" si="4"/>
        <v>无定金+无客戶送貨期</v>
      </c>
      <c r="AR65" s="260" t="str">
        <f t="shared" si="13"/>
        <v>Incoming_Stock_No_YAMAHA_Schedule</v>
      </c>
      <c r="AS65" s="260" t="str">
        <f t="shared" si="6"/>
        <v/>
      </c>
    </row>
    <row r="66" spans="1:45" hidden="1">
      <c r="B66" s="588" t="s">
        <v>1703</v>
      </c>
      <c r="C66" s="588" t="s">
        <v>212</v>
      </c>
      <c r="D66" s="589">
        <v>111546</v>
      </c>
      <c r="E66" s="593" t="s">
        <v>167</v>
      </c>
      <c r="F66" s="584" t="s">
        <v>18</v>
      </c>
      <c r="G66" s="584" t="s">
        <v>25</v>
      </c>
      <c r="H66" s="584"/>
      <c r="I66" s="580"/>
      <c r="J66" s="580">
        <v>1</v>
      </c>
      <c r="K66" s="584"/>
      <c r="L66" s="591" t="s">
        <v>1876</v>
      </c>
      <c r="M66" s="585"/>
      <c r="N66" s="576"/>
      <c r="O66" s="570"/>
      <c r="P66" s="585" t="e">
        <f>VLOOKUP(A66,'[1]Raw data'!$B:$BA,23,FALSE)</f>
        <v>#N/A</v>
      </c>
      <c r="Q66" s="584" t="e">
        <f>VLOOKUP(A66,'[1]Raw data'!$B:$Z,2,FALSE)</f>
        <v>#N/A</v>
      </c>
      <c r="R66" s="584" t="e">
        <f>VLOOKUP(A66,'[1]Raw data'!$B:$Z,3,FALSE)</f>
        <v>#N/A</v>
      </c>
      <c r="S66" s="584" t="e">
        <f>VLOOKUP(A66,'[1]Raw data'!$B:$Z,4,FALSE)</f>
        <v>#N/A</v>
      </c>
      <c r="T66" s="584" t="e">
        <f>VLOOKUP(A66,'[1]Raw data'!$B:$Z,8,FALSE)</f>
        <v>#N/A</v>
      </c>
      <c r="U66" s="584" t="e">
        <f>VLOOKUP(A66,'[1]Raw data'!$B:$Z,9,FALSE)</f>
        <v>#N/A</v>
      </c>
      <c r="V66" s="583" t="e">
        <f t="shared" ref="V66:V69" si="27">IF(G66&amp;H66=T66&amp;U66,"OK","WRONG")</f>
        <v>#N/A</v>
      </c>
      <c r="W66" s="592" t="e">
        <f>VLOOKUP(A66,'[1]Raw data'!$B:$AG,32,FALSE)</f>
        <v>#N/A</v>
      </c>
      <c r="X66" s="591" t="e">
        <f>VLOOKUP(A66,'[1]Raw data'!$B:$BA,31,FALSE)</f>
        <v>#N/A</v>
      </c>
      <c r="Y66" s="584" t="e">
        <f>VLOOKUP(A66,'[1]Raw data'!$B:$AS,39,FALSE)</f>
        <v>#N/A</v>
      </c>
      <c r="Z66" s="577"/>
      <c r="AA66" s="578"/>
      <c r="AB66" s="579"/>
      <c r="AC66" s="584"/>
      <c r="AD66" s="580">
        <v>301</v>
      </c>
      <c r="AE66" s="580">
        <v>5</v>
      </c>
      <c r="AF66" s="580">
        <v>302</v>
      </c>
      <c r="AG66" s="580">
        <v>5</v>
      </c>
      <c r="AH66" s="580"/>
      <c r="AI66" s="581"/>
      <c r="AN66" s="548"/>
      <c r="AO66" s="612" t="str">
        <f t="shared" si="25"/>
        <v>NA</v>
      </c>
      <c r="AP66" s="260" t="str">
        <f t="shared" si="26"/>
        <v>blank</v>
      </c>
      <c r="AQ66" s="548" t="str">
        <f t="shared" si="4"/>
        <v>无定金+无客戶送貨期</v>
      </c>
      <c r="AR66" s="260" t="str">
        <f t="shared" si="13"/>
        <v>Incoming_Stock_No_YAMAHA_Schedule</v>
      </c>
      <c r="AS66" s="260" t="str">
        <f t="shared" si="6"/>
        <v/>
      </c>
    </row>
    <row r="67" spans="1:45" hidden="1">
      <c r="B67" s="588" t="s">
        <v>1703</v>
      </c>
      <c r="C67" s="588" t="s">
        <v>212</v>
      </c>
      <c r="D67" s="589">
        <v>111546</v>
      </c>
      <c r="E67" s="593" t="s">
        <v>167</v>
      </c>
      <c r="F67" s="584" t="s">
        <v>18</v>
      </c>
      <c r="G67" s="584" t="s">
        <v>25</v>
      </c>
      <c r="H67" s="584"/>
      <c r="I67" s="580"/>
      <c r="J67" s="580">
        <v>1</v>
      </c>
      <c r="K67" s="584"/>
      <c r="L67" s="591" t="s">
        <v>1876</v>
      </c>
      <c r="M67" s="585"/>
      <c r="N67" s="576"/>
      <c r="O67" s="570"/>
      <c r="P67" s="585" t="e">
        <f>VLOOKUP(A67,'[1]Raw data'!$B:$BA,23,FALSE)</f>
        <v>#N/A</v>
      </c>
      <c r="Q67" s="584" t="e">
        <f>VLOOKUP(A67,'[1]Raw data'!$B:$Z,2,FALSE)</f>
        <v>#N/A</v>
      </c>
      <c r="R67" s="584" t="e">
        <f>VLOOKUP(A67,'[1]Raw data'!$B:$Z,3,FALSE)</f>
        <v>#N/A</v>
      </c>
      <c r="S67" s="584" t="e">
        <f>VLOOKUP(A67,'[1]Raw data'!$B:$Z,4,FALSE)</f>
        <v>#N/A</v>
      </c>
      <c r="T67" s="584" t="e">
        <f>VLOOKUP(A67,'[1]Raw data'!$B:$Z,8,FALSE)</f>
        <v>#N/A</v>
      </c>
      <c r="U67" s="584" t="e">
        <f>VLOOKUP(A67,'[1]Raw data'!$B:$Z,9,FALSE)</f>
        <v>#N/A</v>
      </c>
      <c r="V67" s="583" t="e">
        <f t="shared" si="27"/>
        <v>#N/A</v>
      </c>
      <c r="W67" s="592" t="e">
        <f>VLOOKUP(A67,'[1]Raw data'!$B:$AG,32,FALSE)</f>
        <v>#N/A</v>
      </c>
      <c r="X67" s="591" t="e">
        <f>VLOOKUP(A67,'[1]Raw data'!$B:$BA,31,FALSE)</f>
        <v>#N/A</v>
      </c>
      <c r="Y67" s="584" t="e">
        <f>VLOOKUP(A67,'[1]Raw data'!$B:$AS,39,FALSE)</f>
        <v>#N/A</v>
      </c>
      <c r="Z67" s="577"/>
      <c r="AA67" s="578"/>
      <c r="AB67" s="579"/>
      <c r="AC67" s="584"/>
      <c r="AD67" s="580">
        <v>301</v>
      </c>
      <c r="AE67" s="580">
        <v>5</v>
      </c>
      <c r="AF67" s="580">
        <v>302</v>
      </c>
      <c r="AG67" s="580">
        <v>5</v>
      </c>
      <c r="AH67" s="580"/>
      <c r="AI67" s="581"/>
      <c r="AN67" s="548"/>
      <c r="AO67" s="612" t="str">
        <f t="shared" si="25"/>
        <v>NA</v>
      </c>
      <c r="AP67" s="260" t="str">
        <f t="shared" si="26"/>
        <v>blank</v>
      </c>
      <c r="AQ67" s="548" t="str">
        <f t="shared" ref="AQ67:AQ130" si="28">IFERROR(IF(AND(AO67="Yes", AP67&lt;&gt;"blank"), "有定金+客戶送貨期", IF(AND(AO67="Yes", AP67="blank"), "有定金+无客戶送貨期", IF(AND(OR(AO67="No", ISBLANK(AO67), AO67="NA"), AP67&lt;&gt;"blank"), "无定金+有客戶送貨期", IF(AND(OR(AO67="No", ISBLANK(AO67), AO67="NA"), AP67="blank"), "无定金+无客戶送貨期", "")))), "")</f>
        <v>无定金+无客戶送貨期</v>
      </c>
      <c r="AR67" s="260" t="str">
        <f t="shared" ref="AR67:AR130" si="29">IFERROR(IF(B67="已经到货", "Instock", IF(B67="有交期", "Incoming_Stock_With_YAMAHA_Schedule", IF(B67="TBA.", "Incoming_Stock_No_YAMAHA_Schedule", IF(B67="已发货", "Shipped_Stock", "")))), "")</f>
        <v>Incoming_Stock_No_YAMAHA_Schedule</v>
      </c>
      <c r="AS67" s="260" t="str">
        <f t="shared" ref="AS67:AS130" si="30">IF(AND(B67="有交期", L67&lt;&gt;""), L67, "")</f>
        <v/>
      </c>
    </row>
    <row r="68" spans="1:45" hidden="1">
      <c r="B68" s="588" t="s">
        <v>1703</v>
      </c>
      <c r="C68" s="588" t="s">
        <v>212</v>
      </c>
      <c r="D68" s="589">
        <v>111546</v>
      </c>
      <c r="E68" s="593" t="s">
        <v>167</v>
      </c>
      <c r="F68" s="584" t="s">
        <v>18</v>
      </c>
      <c r="G68" s="584" t="s">
        <v>25</v>
      </c>
      <c r="H68" s="584"/>
      <c r="I68" s="580"/>
      <c r="J68" s="580">
        <v>1</v>
      </c>
      <c r="K68" s="584"/>
      <c r="L68" s="591" t="s">
        <v>1876</v>
      </c>
      <c r="M68" s="585"/>
      <c r="N68" s="576"/>
      <c r="O68" s="570"/>
      <c r="P68" s="585" t="e">
        <f>VLOOKUP(A68,'[1]Raw data'!$B:$BA,23,FALSE)</f>
        <v>#N/A</v>
      </c>
      <c r="Q68" s="584" t="e">
        <f>VLOOKUP(A68,'[1]Raw data'!$B:$Z,2,FALSE)</f>
        <v>#N/A</v>
      </c>
      <c r="R68" s="584" t="e">
        <f>VLOOKUP(A68,'[1]Raw data'!$B:$Z,3,FALSE)</f>
        <v>#N/A</v>
      </c>
      <c r="S68" s="584" t="e">
        <f>VLOOKUP(A68,'[1]Raw data'!$B:$Z,4,FALSE)</f>
        <v>#N/A</v>
      </c>
      <c r="T68" s="584" t="e">
        <f>VLOOKUP(A68,'[1]Raw data'!$B:$Z,8,FALSE)</f>
        <v>#N/A</v>
      </c>
      <c r="U68" s="584" t="e">
        <f>VLOOKUP(A68,'[1]Raw data'!$B:$Z,9,FALSE)</f>
        <v>#N/A</v>
      </c>
      <c r="V68" s="583" t="e">
        <f t="shared" si="27"/>
        <v>#N/A</v>
      </c>
      <c r="W68" s="592" t="e">
        <f>VLOOKUP(A68,'[1]Raw data'!$B:$AG,32,FALSE)</f>
        <v>#N/A</v>
      </c>
      <c r="X68" s="591" t="e">
        <f>VLOOKUP(A68,'[1]Raw data'!$B:$BA,31,FALSE)</f>
        <v>#N/A</v>
      </c>
      <c r="Y68" s="584" t="e">
        <f>VLOOKUP(A68,'[1]Raw data'!$B:$AS,39,FALSE)</f>
        <v>#N/A</v>
      </c>
      <c r="Z68" s="577"/>
      <c r="AA68" s="578"/>
      <c r="AB68" s="579"/>
      <c r="AC68" s="584"/>
      <c r="AD68" s="580">
        <v>301</v>
      </c>
      <c r="AE68" s="580">
        <v>5</v>
      </c>
      <c r="AF68" s="580">
        <v>303</v>
      </c>
      <c r="AG68" s="580">
        <v>5</v>
      </c>
      <c r="AH68" s="580"/>
      <c r="AI68" s="581"/>
      <c r="AN68" s="548"/>
      <c r="AO68" s="612" t="str">
        <f t="shared" si="25"/>
        <v>NA</v>
      </c>
      <c r="AP68" s="260" t="str">
        <f t="shared" si="26"/>
        <v>blank</v>
      </c>
      <c r="AQ68" s="548" t="str">
        <f t="shared" si="28"/>
        <v>无定金+无客戶送貨期</v>
      </c>
      <c r="AR68" s="260" t="str">
        <f t="shared" si="29"/>
        <v>Incoming_Stock_No_YAMAHA_Schedule</v>
      </c>
      <c r="AS68" s="260" t="str">
        <f t="shared" si="30"/>
        <v/>
      </c>
    </row>
    <row r="69" spans="1:45" hidden="1">
      <c r="B69" s="588" t="s">
        <v>1703</v>
      </c>
      <c r="C69" s="588" t="s">
        <v>212</v>
      </c>
      <c r="D69" s="589">
        <v>111546</v>
      </c>
      <c r="E69" s="593" t="s">
        <v>167</v>
      </c>
      <c r="F69" s="584" t="s">
        <v>18</v>
      </c>
      <c r="G69" s="584" t="s">
        <v>25</v>
      </c>
      <c r="H69" s="584"/>
      <c r="I69" s="580"/>
      <c r="J69" s="580">
        <v>1</v>
      </c>
      <c r="K69" s="584"/>
      <c r="L69" s="591" t="s">
        <v>1876</v>
      </c>
      <c r="M69" s="585"/>
      <c r="N69" s="576"/>
      <c r="O69" s="570"/>
      <c r="P69" s="585" t="e">
        <f>VLOOKUP(A69,'[1]Raw data'!$B:$BA,23,FALSE)</f>
        <v>#N/A</v>
      </c>
      <c r="Q69" s="584" t="e">
        <f>VLOOKUP(A69,'[1]Raw data'!$B:$Z,2,FALSE)</f>
        <v>#N/A</v>
      </c>
      <c r="R69" s="584" t="e">
        <f>VLOOKUP(A69,'[1]Raw data'!$B:$Z,3,FALSE)</f>
        <v>#N/A</v>
      </c>
      <c r="S69" s="584" t="e">
        <f>VLOOKUP(A69,'[1]Raw data'!$B:$Z,4,FALSE)</f>
        <v>#N/A</v>
      </c>
      <c r="T69" s="584" t="e">
        <f>VLOOKUP(A69,'[1]Raw data'!$B:$Z,8,FALSE)</f>
        <v>#N/A</v>
      </c>
      <c r="U69" s="584" t="e">
        <f>VLOOKUP(A69,'[1]Raw data'!$B:$Z,9,FALSE)</f>
        <v>#N/A</v>
      </c>
      <c r="V69" s="583" t="e">
        <f t="shared" si="27"/>
        <v>#N/A</v>
      </c>
      <c r="W69" s="592" t="e">
        <f>VLOOKUP(A69,'[1]Raw data'!$B:$AG,32,FALSE)</f>
        <v>#N/A</v>
      </c>
      <c r="X69" s="591" t="e">
        <f>VLOOKUP(A69,'[1]Raw data'!$B:$BA,31,FALSE)</f>
        <v>#N/A</v>
      </c>
      <c r="Y69" s="584" t="e">
        <f>VLOOKUP(A69,'[1]Raw data'!$B:$AS,39,FALSE)</f>
        <v>#N/A</v>
      </c>
      <c r="Z69" s="577"/>
      <c r="AA69" s="578"/>
      <c r="AB69" s="579"/>
      <c r="AC69" s="584"/>
      <c r="AD69" s="580">
        <v>301</v>
      </c>
      <c r="AE69" s="580">
        <v>5</v>
      </c>
      <c r="AF69" s="580">
        <v>303</v>
      </c>
      <c r="AG69" s="580">
        <v>5</v>
      </c>
      <c r="AH69" s="580"/>
      <c r="AI69" s="581"/>
      <c r="AN69" s="548"/>
      <c r="AO69" s="612" t="str">
        <f t="shared" si="25"/>
        <v>NA</v>
      </c>
      <c r="AP69" s="260" t="str">
        <f t="shared" si="26"/>
        <v>blank</v>
      </c>
      <c r="AQ69" s="548" t="str">
        <f t="shared" si="28"/>
        <v>无定金+无客戶送貨期</v>
      </c>
      <c r="AR69" s="260" t="str">
        <f t="shared" si="29"/>
        <v>Incoming_Stock_No_YAMAHA_Schedule</v>
      </c>
      <c r="AS69" s="260" t="str">
        <f t="shared" si="30"/>
        <v/>
      </c>
    </row>
    <row r="70" spans="1:45" hidden="1">
      <c r="B70" s="588"/>
      <c r="C70" s="588"/>
      <c r="D70" s="589"/>
      <c r="E70" s="593"/>
      <c r="F70" s="584"/>
      <c r="G70" s="584"/>
      <c r="H70" s="584"/>
      <c r="I70" s="580"/>
      <c r="J70" s="580"/>
      <c r="K70" s="584"/>
      <c r="L70" s="591"/>
      <c r="M70" s="585"/>
      <c r="N70" s="576"/>
      <c r="O70" s="570"/>
      <c r="P70" s="585" t="e">
        <f>VLOOKUP(A70,'[1]Raw data'!$B:$BA,23,FALSE)</f>
        <v>#N/A</v>
      </c>
      <c r="Q70" s="584" t="e">
        <f>VLOOKUP(A70,'[1]Raw data'!$B:$Z,2,FALSE)</f>
        <v>#N/A</v>
      </c>
      <c r="R70" s="584" t="e">
        <f>VLOOKUP(A70,'[1]Raw data'!$B:$Z,3,FALSE)</f>
        <v>#N/A</v>
      </c>
      <c r="S70" s="584" t="e">
        <f>VLOOKUP(A70,'[1]Raw data'!$B:$Z,4,FALSE)</f>
        <v>#N/A</v>
      </c>
      <c r="T70" s="584" t="e">
        <f>VLOOKUP(A70,'[1]Raw data'!$B:$Z,8,FALSE)</f>
        <v>#N/A</v>
      </c>
      <c r="U70" s="584" t="e">
        <f>VLOOKUP(A70,'[1]Raw data'!$B:$Z,9,FALSE)</f>
        <v>#N/A</v>
      </c>
      <c r="V70" s="583" t="e">
        <f t="shared" ref="V70:V74" si="31">IF(G70&amp;H70=T70&amp;U70,"OK","WRONG")</f>
        <v>#N/A</v>
      </c>
      <c r="W70" s="592" t="e">
        <f>VLOOKUP(A70,'[1]Raw data'!$B:$AG,32,FALSE)</f>
        <v>#N/A</v>
      </c>
      <c r="X70" s="591" t="e">
        <f>VLOOKUP(A70,'[1]Raw data'!$B:$BA,31,FALSE)</f>
        <v>#N/A</v>
      </c>
      <c r="Y70" s="584" t="e">
        <f>VLOOKUP(A70,'[1]Raw data'!$B:$AS,39,FALSE)</f>
        <v>#N/A</v>
      </c>
      <c r="Z70" s="577"/>
      <c r="AA70" s="578"/>
      <c r="AB70" s="579"/>
      <c r="AC70" s="584"/>
      <c r="AD70" s="580"/>
      <c r="AE70" s="580"/>
      <c r="AF70" s="580"/>
      <c r="AG70" s="580"/>
      <c r="AH70" s="580"/>
      <c r="AI70" s="581"/>
      <c r="AN70" s="548"/>
      <c r="AO70" s="612" t="str">
        <f t="shared" si="14"/>
        <v>NA</v>
      </c>
      <c r="AP70" s="260" t="str">
        <f t="shared" si="12"/>
        <v>blank</v>
      </c>
      <c r="AQ70" s="548" t="str">
        <f t="shared" si="28"/>
        <v>无定金+无客戶送貨期</v>
      </c>
      <c r="AR70" s="260" t="str">
        <f t="shared" si="29"/>
        <v/>
      </c>
      <c r="AS70" s="260" t="str">
        <f t="shared" si="30"/>
        <v/>
      </c>
    </row>
    <row r="71" spans="1:45" hidden="1">
      <c r="B71" s="588"/>
      <c r="C71" s="588"/>
      <c r="D71" s="589"/>
      <c r="E71" s="593"/>
      <c r="F71" s="584"/>
      <c r="G71" s="584"/>
      <c r="H71" s="584"/>
      <c r="I71" s="580"/>
      <c r="J71" s="580"/>
      <c r="K71" s="584"/>
      <c r="L71" s="591"/>
      <c r="M71" s="585"/>
      <c r="N71" s="576"/>
      <c r="O71" s="570"/>
      <c r="P71" s="585" t="e">
        <f>VLOOKUP(A71,'[1]Raw data'!$B:$BA,23,FALSE)</f>
        <v>#N/A</v>
      </c>
      <c r="Q71" s="584" t="e">
        <f>VLOOKUP(A71,'[1]Raw data'!$B:$Z,2,FALSE)</f>
        <v>#N/A</v>
      </c>
      <c r="R71" s="584" t="e">
        <f>VLOOKUP(A71,'[1]Raw data'!$B:$Z,3,FALSE)</f>
        <v>#N/A</v>
      </c>
      <c r="S71" s="584" t="e">
        <f>VLOOKUP(A71,'[1]Raw data'!$B:$Z,4,FALSE)</f>
        <v>#N/A</v>
      </c>
      <c r="T71" s="584" t="e">
        <f>VLOOKUP(A71,'[1]Raw data'!$B:$Z,8,FALSE)</f>
        <v>#N/A</v>
      </c>
      <c r="U71" s="584" t="e">
        <f>VLOOKUP(A71,'[1]Raw data'!$B:$Z,9,FALSE)</f>
        <v>#N/A</v>
      </c>
      <c r="V71" s="583" t="e">
        <f t="shared" si="31"/>
        <v>#N/A</v>
      </c>
      <c r="W71" s="592" t="e">
        <f>VLOOKUP(A71,'[1]Raw data'!$B:$AG,32,FALSE)</f>
        <v>#N/A</v>
      </c>
      <c r="X71" s="591" t="e">
        <f>VLOOKUP(A71,'[1]Raw data'!$B:$BA,31,FALSE)</f>
        <v>#N/A</v>
      </c>
      <c r="Y71" s="584" t="e">
        <f>VLOOKUP(A71,'[1]Raw data'!$B:$AS,39,FALSE)</f>
        <v>#N/A</v>
      </c>
      <c r="Z71" s="577"/>
      <c r="AA71" s="578"/>
      <c r="AB71" s="579"/>
      <c r="AC71" s="584"/>
      <c r="AD71" s="580"/>
      <c r="AE71" s="580"/>
      <c r="AF71" s="580"/>
      <c r="AG71" s="580"/>
      <c r="AH71" s="580"/>
      <c r="AI71" s="581"/>
      <c r="AN71" s="548"/>
      <c r="AO71" s="612" t="str">
        <f t="shared" si="14"/>
        <v>NA</v>
      </c>
      <c r="AP71" s="260" t="str">
        <f t="shared" si="12"/>
        <v>blank</v>
      </c>
      <c r="AQ71" s="548" t="str">
        <f t="shared" si="28"/>
        <v>无定金+无客戶送貨期</v>
      </c>
      <c r="AR71" s="260" t="str">
        <f t="shared" si="29"/>
        <v/>
      </c>
      <c r="AS71" s="260" t="str">
        <f t="shared" si="30"/>
        <v/>
      </c>
    </row>
    <row r="72" spans="1:45" hidden="1">
      <c r="B72" s="588"/>
      <c r="C72" s="588"/>
      <c r="D72" s="589"/>
      <c r="E72" s="593"/>
      <c r="F72" s="584"/>
      <c r="G72" s="584"/>
      <c r="H72" s="584"/>
      <c r="I72" s="580"/>
      <c r="J72" s="580"/>
      <c r="K72" s="584"/>
      <c r="L72" s="591"/>
      <c r="M72" s="585"/>
      <c r="N72" s="576"/>
      <c r="O72" s="570"/>
      <c r="P72" s="585" t="e">
        <f>VLOOKUP(A72,'[1]Raw data'!$B:$BA,23,FALSE)</f>
        <v>#N/A</v>
      </c>
      <c r="Q72" s="584" t="e">
        <f>VLOOKUP(A72,'[1]Raw data'!$B:$Z,2,FALSE)</f>
        <v>#N/A</v>
      </c>
      <c r="R72" s="584" t="e">
        <f>VLOOKUP(A72,'[1]Raw data'!$B:$Z,3,FALSE)</f>
        <v>#N/A</v>
      </c>
      <c r="S72" s="584" t="e">
        <f>VLOOKUP(A72,'[1]Raw data'!$B:$Z,4,FALSE)</f>
        <v>#N/A</v>
      </c>
      <c r="T72" s="584" t="e">
        <f>VLOOKUP(A72,'[1]Raw data'!$B:$Z,8,FALSE)</f>
        <v>#N/A</v>
      </c>
      <c r="U72" s="584" t="e">
        <f>VLOOKUP(A72,'[1]Raw data'!$B:$Z,9,FALSE)</f>
        <v>#N/A</v>
      </c>
      <c r="V72" s="583" t="e">
        <f t="shared" si="31"/>
        <v>#N/A</v>
      </c>
      <c r="W72" s="592" t="e">
        <f>VLOOKUP(A72,'[1]Raw data'!$B:$AG,32,FALSE)</f>
        <v>#N/A</v>
      </c>
      <c r="X72" s="591" t="e">
        <f>VLOOKUP(A72,'[1]Raw data'!$B:$BA,31,FALSE)</f>
        <v>#N/A</v>
      </c>
      <c r="Y72" s="584" t="e">
        <f>VLOOKUP(A72,'[1]Raw data'!$B:$AS,39,FALSE)</f>
        <v>#N/A</v>
      </c>
      <c r="Z72" s="577"/>
      <c r="AA72" s="578"/>
      <c r="AB72" s="579"/>
      <c r="AC72" s="584"/>
      <c r="AD72" s="580"/>
      <c r="AE72" s="580"/>
      <c r="AF72" s="580"/>
      <c r="AG72" s="580"/>
      <c r="AH72" s="580"/>
      <c r="AI72" s="581"/>
      <c r="AN72" s="548"/>
      <c r="AO72" s="612" t="str">
        <f t="shared" ref="AO72:AO74" si="32">IFERROR(IF(Y72&lt;&gt;"",Y72,"blank"),"NA")</f>
        <v>NA</v>
      </c>
      <c r="AP72" s="260" t="str">
        <f t="shared" ref="AP72:AP74" si="33">IFERROR(IF(N72&lt;&gt;"",N72,"blank"),"NA")</f>
        <v>blank</v>
      </c>
      <c r="AQ72" s="548" t="str">
        <f t="shared" si="28"/>
        <v>无定金+无客戶送貨期</v>
      </c>
      <c r="AR72" s="260" t="str">
        <f t="shared" si="29"/>
        <v/>
      </c>
      <c r="AS72" s="260" t="str">
        <f t="shared" si="30"/>
        <v/>
      </c>
    </row>
    <row r="73" spans="1:45" hidden="1">
      <c r="B73" s="588"/>
      <c r="C73" s="588"/>
      <c r="D73" s="589"/>
      <c r="E73" s="593"/>
      <c r="F73" s="584"/>
      <c r="G73" s="584"/>
      <c r="H73" s="584"/>
      <c r="I73" s="580"/>
      <c r="J73" s="580"/>
      <c r="K73" s="584"/>
      <c r="L73" s="591"/>
      <c r="M73" s="585"/>
      <c r="N73" s="576"/>
      <c r="O73" s="570"/>
      <c r="P73" s="585" t="e">
        <f>VLOOKUP(A73,'[1]Raw data'!$B:$BA,23,FALSE)</f>
        <v>#N/A</v>
      </c>
      <c r="Q73" s="584" t="e">
        <f>VLOOKUP(A73,'[1]Raw data'!$B:$Z,2,FALSE)</f>
        <v>#N/A</v>
      </c>
      <c r="R73" s="584" t="e">
        <f>VLOOKUP(A73,'[1]Raw data'!$B:$Z,3,FALSE)</f>
        <v>#N/A</v>
      </c>
      <c r="S73" s="584" t="e">
        <f>VLOOKUP(A73,'[1]Raw data'!$B:$Z,4,FALSE)</f>
        <v>#N/A</v>
      </c>
      <c r="T73" s="584" t="e">
        <f>VLOOKUP(A73,'[1]Raw data'!$B:$Z,8,FALSE)</f>
        <v>#N/A</v>
      </c>
      <c r="U73" s="584" t="e">
        <f>VLOOKUP(A73,'[1]Raw data'!$B:$Z,9,FALSE)</f>
        <v>#N/A</v>
      </c>
      <c r="V73" s="583" t="e">
        <f t="shared" si="31"/>
        <v>#N/A</v>
      </c>
      <c r="W73" s="592" t="e">
        <f>VLOOKUP(A73,'[1]Raw data'!$B:$AG,32,FALSE)</f>
        <v>#N/A</v>
      </c>
      <c r="X73" s="591" t="e">
        <f>VLOOKUP(A73,'[1]Raw data'!$B:$BA,31,FALSE)</f>
        <v>#N/A</v>
      </c>
      <c r="Y73" s="584" t="e">
        <f>VLOOKUP(A73,'[1]Raw data'!$B:$AS,39,FALSE)</f>
        <v>#N/A</v>
      </c>
      <c r="Z73" s="577"/>
      <c r="AA73" s="578"/>
      <c r="AB73" s="579"/>
      <c r="AC73" s="584"/>
      <c r="AD73" s="580"/>
      <c r="AE73" s="580"/>
      <c r="AF73" s="580"/>
      <c r="AG73" s="580"/>
      <c r="AH73" s="580"/>
      <c r="AI73" s="581"/>
      <c r="AN73" s="548"/>
      <c r="AO73" s="612" t="str">
        <f t="shared" si="32"/>
        <v>NA</v>
      </c>
      <c r="AP73" s="260" t="str">
        <f t="shared" si="33"/>
        <v>blank</v>
      </c>
      <c r="AQ73" s="548" t="str">
        <f t="shared" si="28"/>
        <v>无定金+无客戶送貨期</v>
      </c>
      <c r="AR73" s="260" t="str">
        <f t="shared" si="29"/>
        <v/>
      </c>
      <c r="AS73" s="260" t="str">
        <f t="shared" si="30"/>
        <v/>
      </c>
    </row>
    <row r="74" spans="1:45" hidden="1">
      <c r="B74" s="588"/>
      <c r="C74" s="588"/>
      <c r="D74" s="589"/>
      <c r="E74" s="593"/>
      <c r="F74" s="584"/>
      <c r="G74" s="584"/>
      <c r="H74" s="584"/>
      <c r="I74" s="580"/>
      <c r="J74" s="580"/>
      <c r="K74" s="584"/>
      <c r="L74" s="591"/>
      <c r="M74" s="585"/>
      <c r="N74" s="576"/>
      <c r="O74" s="570"/>
      <c r="P74" s="585" t="e">
        <f>VLOOKUP(A74,'[1]Raw data'!$B:$BA,23,FALSE)</f>
        <v>#N/A</v>
      </c>
      <c r="Q74" s="584" t="e">
        <f>VLOOKUP(A74,'[1]Raw data'!$B:$Z,2,FALSE)</f>
        <v>#N/A</v>
      </c>
      <c r="R74" s="584" t="e">
        <f>VLOOKUP(A74,'[1]Raw data'!$B:$Z,3,FALSE)</f>
        <v>#N/A</v>
      </c>
      <c r="S74" s="584" t="e">
        <f>VLOOKUP(A74,'[1]Raw data'!$B:$Z,4,FALSE)</f>
        <v>#N/A</v>
      </c>
      <c r="T74" s="584" t="e">
        <f>VLOOKUP(A74,'[1]Raw data'!$B:$Z,8,FALSE)</f>
        <v>#N/A</v>
      </c>
      <c r="U74" s="584" t="e">
        <f>VLOOKUP(A74,'[1]Raw data'!$B:$Z,9,FALSE)</f>
        <v>#N/A</v>
      </c>
      <c r="V74" s="583" t="e">
        <f t="shared" si="31"/>
        <v>#N/A</v>
      </c>
      <c r="W74" s="592" t="e">
        <f>VLOOKUP(A74,'[1]Raw data'!$B:$AG,32,FALSE)</f>
        <v>#N/A</v>
      </c>
      <c r="X74" s="591" t="e">
        <f>VLOOKUP(A74,'[1]Raw data'!$B:$BA,31,FALSE)</f>
        <v>#N/A</v>
      </c>
      <c r="Y74" s="584" t="e">
        <f>VLOOKUP(A74,'[1]Raw data'!$B:$AS,39,FALSE)</f>
        <v>#N/A</v>
      </c>
      <c r="Z74" s="577"/>
      <c r="AA74" s="578"/>
      <c r="AB74" s="579"/>
      <c r="AC74" s="584"/>
      <c r="AD74" s="580"/>
      <c r="AE74" s="580"/>
      <c r="AF74" s="580"/>
      <c r="AG74" s="580"/>
      <c r="AH74" s="580"/>
      <c r="AI74" s="581"/>
      <c r="AN74" s="548"/>
      <c r="AO74" s="612" t="str">
        <f t="shared" si="32"/>
        <v>NA</v>
      </c>
      <c r="AP74" s="260" t="str">
        <f t="shared" si="33"/>
        <v>blank</v>
      </c>
      <c r="AQ74" s="548" t="str">
        <f t="shared" si="28"/>
        <v>无定金+无客戶送貨期</v>
      </c>
      <c r="AR74" s="260" t="str">
        <f t="shared" si="29"/>
        <v/>
      </c>
      <c r="AS74" s="260" t="str">
        <f t="shared" si="30"/>
        <v/>
      </c>
    </row>
    <row r="75" spans="1:45" hidden="1">
      <c r="B75" s="588"/>
      <c r="C75" s="588"/>
      <c r="D75" s="589"/>
      <c r="E75" s="593"/>
      <c r="F75" s="584"/>
      <c r="G75" s="584"/>
      <c r="H75" s="584"/>
      <c r="I75" s="580"/>
      <c r="J75" s="580"/>
      <c r="K75" s="584"/>
      <c r="L75" s="591"/>
      <c r="M75" s="585"/>
      <c r="N75" s="576"/>
      <c r="O75" s="570"/>
      <c r="P75" s="585" t="e">
        <f>VLOOKUP(A75,'[1]Raw data'!$B:$BA,23,FALSE)</f>
        <v>#N/A</v>
      </c>
      <c r="Q75" s="584" t="e">
        <f>VLOOKUP(A75,'[1]Raw data'!$B:$Z,2,FALSE)</f>
        <v>#N/A</v>
      </c>
      <c r="R75" s="584" t="e">
        <f>VLOOKUP(A75,'[1]Raw data'!$B:$Z,3,FALSE)</f>
        <v>#N/A</v>
      </c>
      <c r="S75" s="584" t="e">
        <f>VLOOKUP(A75,'[1]Raw data'!$B:$Z,4,FALSE)</f>
        <v>#N/A</v>
      </c>
      <c r="T75" s="584" t="e">
        <f>VLOOKUP(A75,'[1]Raw data'!$B:$Z,8,FALSE)</f>
        <v>#N/A</v>
      </c>
      <c r="U75" s="584" t="e">
        <f>VLOOKUP(A75,'[1]Raw data'!$B:$Z,9,FALSE)</f>
        <v>#N/A</v>
      </c>
      <c r="V75" s="583" t="e">
        <f t="shared" si="24"/>
        <v>#N/A</v>
      </c>
      <c r="W75" s="592" t="e">
        <f>VLOOKUP(A75,'[1]Raw data'!$B:$AG,32,FALSE)</f>
        <v>#N/A</v>
      </c>
      <c r="X75" s="591" t="e">
        <f>VLOOKUP(A75,'[1]Raw data'!$B:$BA,31,FALSE)</f>
        <v>#N/A</v>
      </c>
      <c r="Y75" s="584" t="e">
        <f>VLOOKUP(A75,'[1]Raw data'!$B:$AS,39,FALSE)</f>
        <v>#N/A</v>
      </c>
      <c r="Z75" s="577"/>
      <c r="AA75" s="578"/>
      <c r="AB75" s="579"/>
      <c r="AC75" s="584"/>
      <c r="AD75" s="580"/>
      <c r="AE75" s="580"/>
      <c r="AF75" s="580"/>
      <c r="AG75" s="580"/>
      <c r="AH75" s="580"/>
      <c r="AI75" s="581"/>
      <c r="AN75" s="548"/>
      <c r="AO75" s="612" t="str">
        <f t="shared" ref="AO75:AO76" si="34">IFERROR(IF(Y75&lt;&gt;"",Y75,"blank"),"NA")</f>
        <v>NA</v>
      </c>
      <c r="AP75" s="260" t="str">
        <f t="shared" ref="AP75:AP76" si="35">IFERROR(IF(N75&lt;&gt;"",N75,"blank"),"NA")</f>
        <v>blank</v>
      </c>
      <c r="AQ75" s="548" t="str">
        <f t="shared" si="28"/>
        <v>无定金+无客戶送貨期</v>
      </c>
      <c r="AR75" s="260" t="str">
        <f t="shared" si="29"/>
        <v/>
      </c>
      <c r="AS75" s="260" t="str">
        <f t="shared" si="30"/>
        <v/>
      </c>
    </row>
    <row r="76" spans="1:45" hidden="1">
      <c r="B76" s="588"/>
      <c r="C76" s="588"/>
      <c r="D76" s="589"/>
      <c r="E76" s="593"/>
      <c r="F76" s="584"/>
      <c r="G76" s="584"/>
      <c r="H76" s="584"/>
      <c r="I76" s="580"/>
      <c r="J76" s="580"/>
      <c r="K76" s="584"/>
      <c r="L76" s="591"/>
      <c r="M76" s="585"/>
      <c r="N76" s="576"/>
      <c r="O76" s="570"/>
      <c r="P76" s="585" t="e">
        <f>VLOOKUP(A76,'[1]Raw data'!$B:$BA,23,FALSE)</f>
        <v>#N/A</v>
      </c>
      <c r="Q76" s="584" t="e">
        <f>VLOOKUP(A76,'[1]Raw data'!$B:$Z,2,FALSE)</f>
        <v>#N/A</v>
      </c>
      <c r="R76" s="584" t="e">
        <f>VLOOKUP(A76,'[1]Raw data'!$B:$Z,3,FALSE)</f>
        <v>#N/A</v>
      </c>
      <c r="S76" s="584" t="e">
        <f>VLOOKUP(A76,'[1]Raw data'!$B:$Z,4,FALSE)</f>
        <v>#N/A</v>
      </c>
      <c r="T76" s="584" t="e">
        <f>VLOOKUP(A76,'[1]Raw data'!$B:$Z,8,FALSE)</f>
        <v>#N/A</v>
      </c>
      <c r="U76" s="584" t="e">
        <f>VLOOKUP(A76,'[1]Raw data'!$B:$Z,9,FALSE)</f>
        <v>#N/A</v>
      </c>
      <c r="V76" s="583" t="e">
        <f t="shared" si="24"/>
        <v>#N/A</v>
      </c>
      <c r="W76" s="592" t="e">
        <f>VLOOKUP(A76,'[1]Raw data'!$B:$AG,32,FALSE)</f>
        <v>#N/A</v>
      </c>
      <c r="X76" s="591" t="e">
        <f>VLOOKUP(A76,'[1]Raw data'!$B:$BA,31,FALSE)</f>
        <v>#N/A</v>
      </c>
      <c r="Y76" s="584" t="e">
        <f>VLOOKUP(A76,'[1]Raw data'!$B:$AS,39,FALSE)</f>
        <v>#N/A</v>
      </c>
      <c r="Z76" s="577"/>
      <c r="AA76" s="578"/>
      <c r="AB76" s="579"/>
      <c r="AC76" s="584"/>
      <c r="AD76" s="580"/>
      <c r="AE76" s="580"/>
      <c r="AF76" s="580"/>
      <c r="AG76" s="580"/>
      <c r="AH76" s="580"/>
      <c r="AI76" s="581"/>
      <c r="AN76" s="548"/>
      <c r="AO76" s="612" t="str">
        <f t="shared" si="34"/>
        <v>NA</v>
      </c>
      <c r="AP76" s="260" t="str">
        <f t="shared" si="35"/>
        <v>blank</v>
      </c>
      <c r="AQ76" s="548" t="str">
        <f t="shared" si="28"/>
        <v>无定金+无客戶送貨期</v>
      </c>
      <c r="AR76" s="260" t="str">
        <f t="shared" si="29"/>
        <v/>
      </c>
      <c r="AS76" s="260" t="str">
        <f t="shared" si="30"/>
        <v/>
      </c>
    </row>
    <row r="77" spans="1:45" hidden="1">
      <c r="B77" s="588"/>
      <c r="C77" s="588"/>
      <c r="D77" s="589"/>
      <c r="E77" s="593"/>
      <c r="F77" s="584"/>
      <c r="G77" s="584"/>
      <c r="H77" s="584"/>
      <c r="I77" s="580"/>
      <c r="J77" s="580"/>
      <c r="K77" s="584"/>
      <c r="L77" s="591"/>
      <c r="M77" s="585"/>
      <c r="N77" s="576"/>
      <c r="O77" s="570"/>
      <c r="P77" s="585" t="e">
        <f>VLOOKUP(A77,'[1]Raw data'!$B:$BA,23,FALSE)</f>
        <v>#N/A</v>
      </c>
      <c r="Q77" s="584" t="e">
        <f>VLOOKUP(A77,'[1]Raw data'!$B:$Z,2,FALSE)</f>
        <v>#N/A</v>
      </c>
      <c r="R77" s="584" t="e">
        <f>VLOOKUP(A77,'[1]Raw data'!$B:$Z,3,FALSE)</f>
        <v>#N/A</v>
      </c>
      <c r="S77" s="584" t="e">
        <f>VLOOKUP(A77,'[1]Raw data'!$B:$Z,4,FALSE)</f>
        <v>#N/A</v>
      </c>
      <c r="T77" s="584" t="e">
        <f>VLOOKUP(A77,'[1]Raw data'!$B:$Z,8,FALSE)</f>
        <v>#N/A</v>
      </c>
      <c r="U77" s="584" t="e">
        <f>VLOOKUP(A77,'[1]Raw data'!$B:$Z,9,FALSE)</f>
        <v>#N/A</v>
      </c>
      <c r="V77" s="583" t="e">
        <f t="shared" ref="V77" si="36">IF(G77&amp;H77=T77&amp;U77,"OK","WRONG")</f>
        <v>#N/A</v>
      </c>
      <c r="W77" s="592" t="e">
        <f>VLOOKUP(A77,'[1]Raw data'!$B:$AG,32,FALSE)</f>
        <v>#N/A</v>
      </c>
      <c r="X77" s="591" t="e">
        <f>VLOOKUP(A77,'[1]Raw data'!$B:$BA,31,FALSE)</f>
        <v>#N/A</v>
      </c>
      <c r="Y77" s="584" t="e">
        <f>VLOOKUP(A77,'[1]Raw data'!$B:$AS,39,FALSE)</f>
        <v>#N/A</v>
      </c>
      <c r="Z77" s="577"/>
      <c r="AA77" s="578"/>
      <c r="AB77" s="579"/>
      <c r="AC77" s="584"/>
      <c r="AD77" s="580"/>
      <c r="AE77" s="580"/>
      <c r="AF77" s="580"/>
      <c r="AG77" s="580"/>
      <c r="AH77" s="580"/>
      <c r="AI77" s="581"/>
      <c r="AN77" s="548"/>
      <c r="AO77" s="612" t="str">
        <f t="shared" si="14"/>
        <v>NA</v>
      </c>
      <c r="AP77" s="260" t="str">
        <f t="shared" si="12"/>
        <v>blank</v>
      </c>
      <c r="AQ77" s="548" t="str">
        <f t="shared" si="28"/>
        <v>无定金+无客戶送貨期</v>
      </c>
      <c r="AR77" s="260" t="str">
        <f t="shared" si="29"/>
        <v/>
      </c>
      <c r="AS77" s="260" t="str">
        <f t="shared" si="30"/>
        <v/>
      </c>
    </row>
    <row r="78" spans="1:45" hidden="1">
      <c r="B78" s="588"/>
      <c r="C78" s="588"/>
      <c r="D78" s="589"/>
      <c r="E78" s="593"/>
      <c r="F78" s="584"/>
      <c r="G78" s="584"/>
      <c r="H78" s="584"/>
      <c r="I78" s="580"/>
      <c r="J78" s="580"/>
      <c r="K78" s="584"/>
      <c r="L78" s="591"/>
      <c r="M78" s="585"/>
      <c r="N78" s="576"/>
      <c r="O78" s="570"/>
      <c r="P78" s="585" t="e">
        <f>VLOOKUP(A78,'[1]Raw data'!$B:$BA,23,FALSE)</f>
        <v>#N/A</v>
      </c>
      <c r="Q78" s="584" t="e">
        <f>VLOOKUP(A78,'[1]Raw data'!$B:$Z,2,FALSE)</f>
        <v>#N/A</v>
      </c>
      <c r="R78" s="584" t="e">
        <f>VLOOKUP(A78,'[1]Raw data'!$B:$Z,3,FALSE)</f>
        <v>#N/A</v>
      </c>
      <c r="S78" s="584" t="e">
        <f>VLOOKUP(A78,'[1]Raw data'!$B:$Z,4,FALSE)</f>
        <v>#N/A</v>
      </c>
      <c r="T78" s="584" t="e">
        <f>VLOOKUP(A78,'[1]Raw data'!$B:$Z,8,FALSE)</f>
        <v>#N/A</v>
      </c>
      <c r="U78" s="584" t="e">
        <f>VLOOKUP(A78,'[1]Raw data'!$B:$Z,9,FALSE)</f>
        <v>#N/A</v>
      </c>
      <c r="V78" s="583" t="e">
        <f t="shared" ref="V78" si="37">IF(G78&amp;H78=T78&amp;U78,"OK","WRONG")</f>
        <v>#N/A</v>
      </c>
      <c r="W78" s="592" t="e">
        <f>VLOOKUP(A78,'[1]Raw data'!$B:$AG,32,FALSE)</f>
        <v>#N/A</v>
      </c>
      <c r="X78" s="591" t="e">
        <f>VLOOKUP(A78,'[1]Raw data'!$B:$BA,31,FALSE)</f>
        <v>#N/A</v>
      </c>
      <c r="Y78" s="584" t="e">
        <f>VLOOKUP(A78,'[1]Raw data'!$B:$AS,39,FALSE)</f>
        <v>#N/A</v>
      </c>
      <c r="Z78" s="577"/>
      <c r="AA78" s="578"/>
      <c r="AB78" s="579"/>
      <c r="AC78" s="584"/>
      <c r="AD78" s="580"/>
      <c r="AE78" s="580"/>
      <c r="AF78" s="580"/>
      <c r="AG78" s="580"/>
      <c r="AH78" s="580"/>
      <c r="AI78" s="581"/>
      <c r="AN78" s="548"/>
      <c r="AO78" s="612" t="str">
        <f t="shared" si="14"/>
        <v>NA</v>
      </c>
      <c r="AP78" s="260" t="str">
        <f t="shared" si="12"/>
        <v>blank</v>
      </c>
      <c r="AQ78" s="548" t="str">
        <f t="shared" si="28"/>
        <v>无定金+无客戶送貨期</v>
      </c>
      <c r="AR78" s="260" t="str">
        <f t="shared" si="29"/>
        <v/>
      </c>
      <c r="AS78" s="260" t="str">
        <f t="shared" si="30"/>
        <v/>
      </c>
    </row>
    <row r="79" spans="1:45" hidden="1">
      <c r="B79" s="588"/>
      <c r="C79" s="588"/>
      <c r="D79" s="589"/>
      <c r="E79" s="593"/>
      <c r="F79" s="584"/>
      <c r="G79" s="584"/>
      <c r="H79" s="584"/>
      <c r="I79" s="580"/>
      <c r="J79" s="580"/>
      <c r="K79" s="584"/>
      <c r="L79" s="591"/>
      <c r="M79" s="585"/>
      <c r="N79" s="576"/>
      <c r="O79" s="570"/>
      <c r="P79" s="585" t="e">
        <f>VLOOKUP(A79,'[1]Raw data'!$B:$BA,23,FALSE)</f>
        <v>#N/A</v>
      </c>
      <c r="Q79" s="584" t="e">
        <f>VLOOKUP(A79,'[1]Raw data'!$B:$Z,2,FALSE)</f>
        <v>#N/A</v>
      </c>
      <c r="R79" s="584" t="e">
        <f>VLOOKUP(A79,'[1]Raw data'!$B:$Z,3,FALSE)</f>
        <v>#N/A</v>
      </c>
      <c r="S79" s="584" t="e">
        <f>VLOOKUP(A79,'[1]Raw data'!$B:$Z,4,FALSE)</f>
        <v>#N/A</v>
      </c>
      <c r="T79" s="584" t="e">
        <f>VLOOKUP(A79,'[1]Raw data'!$B:$Z,8,FALSE)</f>
        <v>#N/A</v>
      </c>
      <c r="U79" s="584" t="e">
        <f>VLOOKUP(A79,'[1]Raw data'!$B:$Z,9,FALSE)</f>
        <v>#N/A</v>
      </c>
      <c r="V79" s="583" t="e">
        <f t="shared" ref="V79" si="38">IF(G79&amp;H79=T79&amp;U79,"OK","WRONG")</f>
        <v>#N/A</v>
      </c>
      <c r="W79" s="592" t="e">
        <f>VLOOKUP(A79,'[1]Raw data'!$B:$AG,32,FALSE)</f>
        <v>#N/A</v>
      </c>
      <c r="X79" s="591" t="e">
        <f>VLOOKUP(A79,'[1]Raw data'!$B:$BA,31,FALSE)</f>
        <v>#N/A</v>
      </c>
      <c r="Y79" s="584" t="e">
        <f>VLOOKUP(A79,'[1]Raw data'!$B:$AS,39,FALSE)</f>
        <v>#N/A</v>
      </c>
      <c r="Z79" s="577"/>
      <c r="AA79" s="578"/>
      <c r="AB79" s="579"/>
      <c r="AC79" s="584"/>
      <c r="AD79" s="580"/>
      <c r="AE79" s="580"/>
      <c r="AF79" s="580"/>
      <c r="AG79" s="580"/>
      <c r="AH79" s="580"/>
      <c r="AI79" s="581"/>
      <c r="AN79" s="548"/>
      <c r="AO79" s="612" t="str">
        <f t="shared" si="14"/>
        <v>NA</v>
      </c>
      <c r="AP79" s="260" t="str">
        <f t="shared" si="12"/>
        <v>blank</v>
      </c>
      <c r="AQ79" s="548" t="str">
        <f t="shared" si="28"/>
        <v>无定金+无客戶送貨期</v>
      </c>
      <c r="AR79" s="260" t="str">
        <f t="shared" si="29"/>
        <v/>
      </c>
      <c r="AS79" s="260" t="str">
        <f t="shared" si="30"/>
        <v/>
      </c>
    </row>
    <row r="80" spans="1:45" s="280" customFormat="1" ht="13.8" hidden="1" thickBot="1">
      <c r="A80" s="565"/>
      <c r="B80" s="594"/>
      <c r="C80" s="594"/>
      <c r="D80" s="595"/>
      <c r="E80" s="596"/>
      <c r="F80" s="597"/>
      <c r="G80" s="597"/>
      <c r="H80" s="597"/>
      <c r="I80" s="598"/>
      <c r="J80" s="598"/>
      <c r="K80" s="597"/>
      <c r="L80" s="599"/>
      <c r="M80" s="600"/>
      <c r="N80" s="582"/>
      <c r="O80" s="601"/>
      <c r="P80" s="602" t="e">
        <f>VLOOKUP(A80,'[1]Raw data'!$B:$BA,23,FALSE)</f>
        <v>#N/A</v>
      </c>
      <c r="Q80" s="597" t="e">
        <f>VLOOKUP(A80,'[1]Raw data'!$B:$Z,2,FALSE)</f>
        <v>#N/A</v>
      </c>
      <c r="R80" s="597" t="e">
        <f>VLOOKUP(A80,'[1]Raw data'!$B:$Z,3,FALSE)</f>
        <v>#N/A</v>
      </c>
      <c r="S80" s="597" t="e">
        <f>VLOOKUP(A80,'[1]Raw data'!$B:$Z,4,FALSE)</f>
        <v>#N/A</v>
      </c>
      <c r="T80" s="597" t="e">
        <f>VLOOKUP(A80,'[1]Raw data'!$B:$Z,8,FALSE)</f>
        <v>#N/A</v>
      </c>
      <c r="U80" s="597" t="e">
        <f>VLOOKUP(A80,'[1]Raw data'!$B:$Z,9,FALSE)</f>
        <v>#N/A</v>
      </c>
      <c r="V80" s="603" t="e">
        <f t="shared" ref="V80" si="39">IF(G80&amp;H80=T80&amp;U80,"OK","WRONG")</f>
        <v>#N/A</v>
      </c>
      <c r="W80" s="592" t="e">
        <f>VLOOKUP(A80,'[1]Raw data'!$B:$AG,32,FALSE)</f>
        <v>#N/A</v>
      </c>
      <c r="X80" s="599" t="e">
        <f>VLOOKUP(A80,'[1]Raw data'!$B:$BA,31,FALSE)</f>
        <v>#N/A</v>
      </c>
      <c r="Y80" s="597" t="e">
        <f>VLOOKUP(A80,'[1]Raw data'!$B:$AS,39,FALSE)</f>
        <v>#N/A</v>
      </c>
      <c r="Z80" s="604"/>
      <c r="AA80" s="605"/>
      <c r="AB80" s="606"/>
      <c r="AC80" s="597"/>
      <c r="AD80" s="598"/>
      <c r="AE80" s="598"/>
      <c r="AF80" s="598"/>
      <c r="AG80" s="598"/>
      <c r="AH80" s="598"/>
      <c r="AI80" s="607"/>
      <c r="AJ80" s="598"/>
      <c r="AK80" s="598"/>
      <c r="AL80" s="598"/>
      <c r="AM80" s="598"/>
      <c r="AN80" s="608"/>
      <c r="AO80" s="612" t="str">
        <f t="shared" si="14"/>
        <v>NA</v>
      </c>
      <c r="AP80" s="260" t="str">
        <f t="shared" si="12"/>
        <v>blank</v>
      </c>
      <c r="AQ80" s="548" t="str">
        <f t="shared" si="28"/>
        <v>无定金+无客戶送貨期</v>
      </c>
      <c r="AR80" s="260" t="str">
        <f t="shared" si="29"/>
        <v/>
      </c>
      <c r="AS80" s="260" t="str">
        <f t="shared" si="30"/>
        <v/>
      </c>
    </row>
    <row r="81" spans="1:45" hidden="1">
      <c r="A81" s="565">
        <v>1294</v>
      </c>
      <c r="P81" s="585" t="str">
        <f>VLOOKUP(A81,'[1]Raw data'!$B:$BA,23,FALSE)</f>
        <v>JPY</v>
      </c>
      <c r="Q81" s="584" t="str">
        <f>VLOOKUP(A81,'[1]Raw data'!$B:$Z,2,FALSE)</f>
        <v>C49SZX20210101JD</v>
      </c>
      <c r="R81" s="584" t="str">
        <f>VLOOKUP(A81,'[1]Raw data'!$B:$Z,3,FALSE)</f>
        <v>聚亮兴业</v>
      </c>
      <c r="S81" s="584" t="str">
        <f>VLOOKUP(A81,'[1]Raw data'!$B:$Z,4,FALSE)</f>
        <v>YSM20R-2</v>
      </c>
      <c r="T81" s="584" t="str">
        <f>VLOOKUP(A81,'[1]Raw data'!$B:$Z,8,FALSE)</f>
        <v>L-&gt;R</v>
      </c>
      <c r="U81" s="584" t="str">
        <f>VLOOKUP(A81,'[1]Raw data'!$B:$Z,9,FALSE)</f>
        <v>No</v>
      </c>
      <c r="V81" s="583" t="str">
        <f t="shared" ref="V81" si="40">IF(G81&amp;H81=T81&amp;U81,"OK","WRONG")</f>
        <v>WRONG</v>
      </c>
      <c r="X81" s="591">
        <f>VLOOKUP(A81,'[1]Raw data'!$B:$BA,31,FALSE)</f>
        <v>44286</v>
      </c>
      <c r="Y81" s="584" t="str">
        <f>VLOOKUP(A81,'[1]Raw data'!$B:$AS,39,FALSE)</f>
        <v>Yes</v>
      </c>
      <c r="Z81" s="548"/>
      <c r="AA81" s="548"/>
      <c r="AB81" s="548"/>
      <c r="AC81" s="548"/>
      <c r="AD81" s="548"/>
      <c r="AE81" s="548"/>
      <c r="AF81" s="548"/>
      <c r="AG81" s="548"/>
      <c r="AH81" s="548"/>
      <c r="AI81" s="548"/>
      <c r="AJ81" s="548"/>
      <c r="AK81" s="548"/>
      <c r="AL81" s="548"/>
      <c r="AM81" s="548"/>
      <c r="AN81" s="548"/>
      <c r="AO81" s="612" t="str">
        <f t="shared" si="14"/>
        <v>Yes</v>
      </c>
      <c r="AP81" s="260" t="str">
        <f t="shared" si="12"/>
        <v>blank</v>
      </c>
      <c r="AQ81" s="548" t="str">
        <f t="shared" si="28"/>
        <v>有定金+无客戶送貨期</v>
      </c>
      <c r="AR81" s="260" t="str">
        <f t="shared" si="29"/>
        <v/>
      </c>
      <c r="AS81" s="260" t="str">
        <f t="shared" si="30"/>
        <v/>
      </c>
    </row>
    <row r="82" spans="1:45" hidden="1">
      <c r="A82" s="565">
        <v>1129</v>
      </c>
      <c r="P82" s="585" t="str">
        <f>VLOOKUP(A82,'[1]Raw data'!$B:$BA,23,FALSE)</f>
        <v>JPY</v>
      </c>
      <c r="Q82" s="584" t="str">
        <f>VLOOKUP(A82,'[1]Raw data'!$B:$Z,2,FALSE)</f>
        <v>C49SZX20210043AY</v>
      </c>
      <c r="R82" s="584" t="str">
        <f>VLOOKUP(A82,'[1]Raw data'!$B:$Z,3,FALSE)</f>
        <v>正宏兴</v>
      </c>
      <c r="S82" s="584" t="str">
        <f>VLOOKUP(A82,'[1]Raw data'!$B:$Z,4,FALSE)</f>
        <v>YSM10</v>
      </c>
      <c r="T82" s="584" t="str">
        <f>VLOOKUP(A82,'[1]Raw data'!$B:$Z,8,FALSE)</f>
        <v>L-&gt;R</v>
      </c>
      <c r="U82" s="584" t="str">
        <f>VLOOKUP(A82,'[1]Raw data'!$B:$Z,9,FALSE)</f>
        <v>MVC</v>
      </c>
      <c r="V82" s="583" t="str">
        <f t="shared" ref="V82" si="41">IF(G82&amp;H82=T82&amp;U82,"OK","WRONG")</f>
        <v>WRONG</v>
      </c>
      <c r="X82" s="591">
        <f>VLOOKUP(A82,'[1]Raw data'!$B:$BA,31,FALSE)</f>
        <v>44230</v>
      </c>
      <c r="Y82" s="584" t="str">
        <f>VLOOKUP(A82,'[1]Raw data'!$B:$AS,39,FALSE)</f>
        <v>Yes</v>
      </c>
      <c r="Z82" s="548"/>
      <c r="AA82" s="548"/>
      <c r="AB82" s="548"/>
      <c r="AO82" s="612" t="str">
        <f t="shared" si="14"/>
        <v>Yes</v>
      </c>
      <c r="AP82" s="260" t="str">
        <f t="shared" si="12"/>
        <v>blank</v>
      </c>
      <c r="AQ82" s="548" t="str">
        <f t="shared" si="28"/>
        <v>有定金+无客戶送貨期</v>
      </c>
      <c r="AR82" s="260" t="str">
        <f t="shared" si="29"/>
        <v/>
      </c>
      <c r="AS82" s="260" t="str">
        <f t="shared" si="30"/>
        <v/>
      </c>
    </row>
    <row r="83" spans="1:45" hidden="1">
      <c r="A83" s="565">
        <v>1427</v>
      </c>
      <c r="P83" s="585" t="str">
        <f>VLOOKUP(A83,'[1]Raw data'!$B:$BA,23,FALSE)</f>
        <v>JPY</v>
      </c>
      <c r="Q83" s="584" t="str">
        <f>VLOOKUP(A83,'[1]Raw data'!$B:$Z,2,FALSE)</f>
        <v>C49SZX20210169VG</v>
      </c>
      <c r="R83" s="584" t="str">
        <f>VLOOKUP(A83,'[1]Raw data'!$B:$Z,3,FALSE)</f>
        <v>狂热者</v>
      </c>
      <c r="S83" s="584" t="str">
        <f>VLOOKUP(A83,'[1]Raw data'!$B:$Z,4,FALSE)</f>
        <v>YSM20R-2</v>
      </c>
      <c r="T83" s="584" t="str">
        <f>VLOOKUP(A83,'[1]Raw data'!$B:$Z,8,FALSE)</f>
        <v>L-&gt;R</v>
      </c>
      <c r="U83" s="584" t="str">
        <f>VLOOKUP(A83,'[1]Raw data'!$B:$Z,9,FALSE)</f>
        <v>No</v>
      </c>
      <c r="V83" s="583" t="str">
        <f t="shared" ref="V83:V84" si="42">IF(G83&amp;H83=T83&amp;U83,"OK","WRONG")</f>
        <v>WRONG</v>
      </c>
      <c r="X83" s="591">
        <f>VLOOKUP(A83,'[1]Raw data'!$B:$BA,31,FALSE)</f>
        <v>44358</v>
      </c>
      <c r="Y83" s="584" t="str">
        <f>VLOOKUP(A83,'[1]Raw data'!$B:$AS,39,FALSE)</f>
        <v>Yes</v>
      </c>
      <c r="AO83" s="612" t="str">
        <f t="shared" si="14"/>
        <v>Yes</v>
      </c>
      <c r="AP83" s="260" t="str">
        <f t="shared" si="12"/>
        <v>blank</v>
      </c>
      <c r="AQ83" s="548" t="str">
        <f t="shared" si="28"/>
        <v>有定金+无客戶送貨期</v>
      </c>
      <c r="AR83" s="260" t="str">
        <f t="shared" si="29"/>
        <v/>
      </c>
      <c r="AS83" s="260" t="str">
        <f t="shared" si="30"/>
        <v/>
      </c>
    </row>
    <row r="84" spans="1:45" hidden="1">
      <c r="A84" s="565">
        <v>1428</v>
      </c>
      <c r="P84" s="585" t="str">
        <f>VLOOKUP(A84,'[1]Raw data'!$B:$BA,23,FALSE)</f>
        <v>JPY</v>
      </c>
      <c r="Q84" s="584" t="str">
        <f>VLOOKUP(A84,'[1]Raw data'!$B:$Z,2,FALSE)</f>
        <v>C49SZX20210169VG</v>
      </c>
      <c r="R84" s="584" t="str">
        <f>VLOOKUP(A84,'[1]Raw data'!$B:$Z,3,FALSE)</f>
        <v>狂热者</v>
      </c>
      <c r="S84" s="584" t="str">
        <f>VLOOKUP(A84,'[1]Raw data'!$B:$Z,4,FALSE)</f>
        <v>YSM20R-2</v>
      </c>
      <c r="T84" s="584" t="str">
        <f>VLOOKUP(A84,'[1]Raw data'!$B:$Z,8,FALSE)</f>
        <v>L-&gt;R</v>
      </c>
      <c r="U84" s="584" t="str">
        <f>VLOOKUP(A84,'[1]Raw data'!$B:$Z,9,FALSE)</f>
        <v>No</v>
      </c>
      <c r="V84" s="583" t="str">
        <f t="shared" si="42"/>
        <v>WRONG</v>
      </c>
      <c r="X84" s="591">
        <f>VLOOKUP(A84,'[1]Raw data'!$B:$BA,31,FALSE)</f>
        <v>44358</v>
      </c>
      <c r="Y84" s="584" t="str">
        <f>VLOOKUP(A84,'[1]Raw data'!$B:$AS,39,FALSE)</f>
        <v>Yes</v>
      </c>
      <c r="AO84" s="612" t="str">
        <f t="shared" si="14"/>
        <v>Yes</v>
      </c>
      <c r="AP84" s="260" t="str">
        <f t="shared" si="12"/>
        <v>blank</v>
      </c>
      <c r="AQ84" s="548" t="str">
        <f t="shared" si="28"/>
        <v>有定金+无客戶送貨期</v>
      </c>
      <c r="AR84" s="260" t="str">
        <f t="shared" si="29"/>
        <v/>
      </c>
      <c r="AS84" s="260" t="str">
        <f t="shared" si="30"/>
        <v/>
      </c>
    </row>
    <row r="85" spans="1:45" hidden="1">
      <c r="A85" s="565">
        <v>1429</v>
      </c>
      <c r="P85" s="585" t="str">
        <f>VLOOKUP(A85,'[1]Raw data'!$B:$BA,23,FALSE)</f>
        <v>JPY</v>
      </c>
      <c r="Q85" s="584" t="str">
        <f>VLOOKUP(A85,'[1]Raw data'!$B:$Z,2,FALSE)</f>
        <v>C49SZX20210169VG</v>
      </c>
      <c r="R85" s="584" t="str">
        <f>VLOOKUP(A85,'[1]Raw data'!$B:$Z,3,FALSE)</f>
        <v>狂热者</v>
      </c>
      <c r="S85" s="584" t="str">
        <f>VLOOKUP(A85,'[1]Raw data'!$B:$Z,4,FALSE)</f>
        <v>YSM10</v>
      </c>
      <c r="T85" s="584" t="str">
        <f>VLOOKUP(A85,'[1]Raw data'!$B:$Z,8,FALSE)</f>
        <v>L-&gt;R</v>
      </c>
      <c r="U85" s="584" t="str">
        <f>VLOOKUP(A85,'[1]Raw data'!$B:$Z,9,FALSE)</f>
        <v>MVC F&amp;R+ATS15</v>
      </c>
      <c r="V85" s="583" t="str">
        <f t="shared" ref="V85:V87" si="43">IF(G85&amp;H85=T85&amp;U85,"OK","WRONG")</f>
        <v>WRONG</v>
      </c>
      <c r="X85" s="591">
        <f>VLOOKUP(A85,'[1]Raw data'!$B:$BA,31,FALSE)</f>
        <v>44358</v>
      </c>
      <c r="Y85" s="584" t="str">
        <f>VLOOKUP(A85,'[1]Raw data'!$B:$AS,39,FALSE)</f>
        <v>Yes</v>
      </c>
      <c r="AO85" s="612" t="str">
        <f t="shared" si="14"/>
        <v>Yes</v>
      </c>
      <c r="AP85" s="260" t="str">
        <f t="shared" si="12"/>
        <v>blank</v>
      </c>
      <c r="AQ85" s="548" t="str">
        <f t="shared" si="28"/>
        <v>有定金+无客戶送貨期</v>
      </c>
      <c r="AR85" s="260" t="str">
        <f t="shared" si="29"/>
        <v/>
      </c>
      <c r="AS85" s="260" t="str">
        <f t="shared" si="30"/>
        <v/>
      </c>
    </row>
    <row r="86" spans="1:45" hidden="1">
      <c r="A86" s="565">
        <v>1430</v>
      </c>
      <c r="P86" s="585" t="str">
        <f>VLOOKUP(A86,'[1]Raw data'!$B:$BA,23,FALSE)</f>
        <v>JPY</v>
      </c>
      <c r="Q86" s="584" t="str">
        <f>VLOOKUP(A86,'[1]Raw data'!$B:$Z,2,FALSE)</f>
        <v>C49SZX20210169VG（已发相机）</v>
      </c>
      <c r="R86" s="584" t="str">
        <f>VLOOKUP(A86,'[1]Raw data'!$B:$Z,3,FALSE)</f>
        <v>狂热者</v>
      </c>
      <c r="S86" s="584" t="str">
        <f>VLOOKUP(A86,'[1]Raw data'!$B:$Z,4,FALSE)</f>
        <v>YSM10</v>
      </c>
      <c r="T86" s="584" t="str">
        <f>VLOOKUP(A86,'[1]Raw data'!$B:$Z,8,FALSE)</f>
        <v>L-&gt;R</v>
      </c>
      <c r="U86" s="584" t="str">
        <f>VLOOKUP(A86,'[1]Raw data'!$B:$Z,9,FALSE)</f>
        <v>MVC+ATS15</v>
      </c>
      <c r="V86" s="583" t="str">
        <f t="shared" si="43"/>
        <v>WRONG</v>
      </c>
      <c r="X86" s="591">
        <f>VLOOKUP(A86,'[1]Raw data'!$B:$BA,31,FALSE)</f>
        <v>44358</v>
      </c>
      <c r="Y86" s="584" t="str">
        <f>VLOOKUP(A86,'[1]Raw data'!$B:$AS,39,FALSE)</f>
        <v>Yes</v>
      </c>
      <c r="AO86" s="612" t="str">
        <f t="shared" si="14"/>
        <v>Yes</v>
      </c>
      <c r="AP86" s="260" t="str">
        <f t="shared" si="12"/>
        <v>blank</v>
      </c>
      <c r="AQ86" s="548" t="str">
        <f t="shared" si="28"/>
        <v>有定金+无客戶送貨期</v>
      </c>
      <c r="AR86" s="260" t="str">
        <f t="shared" si="29"/>
        <v/>
      </c>
      <c r="AS86" s="260" t="str">
        <f t="shared" si="30"/>
        <v/>
      </c>
    </row>
    <row r="87" spans="1:45" hidden="1">
      <c r="A87" s="565">
        <v>1130</v>
      </c>
      <c r="P87" s="585" t="str">
        <f>VLOOKUP(A87,'[1]Raw data'!$B:$BA,23,FALSE)</f>
        <v>JPY</v>
      </c>
      <c r="Q87" s="584" t="str">
        <f>VLOOKUP(A87,'[1]Raw data'!$B:$Z,2,FALSE)</f>
        <v>C49SZX20210043AY</v>
      </c>
      <c r="R87" s="584" t="str">
        <f>VLOOKUP(A87,'[1]Raw data'!$B:$Z,3,FALSE)</f>
        <v>正宏兴</v>
      </c>
      <c r="S87" s="584" t="str">
        <f>VLOOKUP(A87,'[1]Raw data'!$B:$Z,4,FALSE)</f>
        <v>YSM20R-2</v>
      </c>
      <c r="T87" s="584" t="str">
        <f>VLOOKUP(A87,'[1]Raw data'!$B:$Z,8,FALSE)</f>
        <v>L-&gt;R</v>
      </c>
      <c r="U87" s="584" t="str">
        <f>VLOOKUP(A87,'[1]Raw data'!$B:$Z,9,FALSE)</f>
        <v>No</v>
      </c>
      <c r="V87" s="583" t="str">
        <f t="shared" si="43"/>
        <v>WRONG</v>
      </c>
      <c r="X87" s="591">
        <f>VLOOKUP(A87,'[1]Raw data'!$B:$BA,31,FALSE)</f>
        <v>44230</v>
      </c>
      <c r="Y87" s="584" t="str">
        <f>VLOOKUP(A87,'[1]Raw data'!$B:$AS,39,FALSE)</f>
        <v>Yes</v>
      </c>
      <c r="AO87" s="612" t="str">
        <f t="shared" si="14"/>
        <v>Yes</v>
      </c>
      <c r="AP87" s="260" t="str">
        <f t="shared" si="12"/>
        <v>blank</v>
      </c>
      <c r="AQ87" s="548" t="str">
        <f t="shared" si="28"/>
        <v>有定金+无客戶送貨期</v>
      </c>
      <c r="AR87" s="260" t="str">
        <f t="shared" si="29"/>
        <v/>
      </c>
      <c r="AS87" s="260" t="str">
        <f t="shared" si="30"/>
        <v/>
      </c>
    </row>
    <row r="88" spans="1:45" hidden="1">
      <c r="A88" s="565">
        <v>1652</v>
      </c>
      <c r="P88" s="585" t="str">
        <f>VLOOKUP(A88,'[1]Raw data'!$B:$BA,23,FALSE)</f>
        <v>JPY</v>
      </c>
      <c r="Q88" s="584" t="str">
        <f>VLOOKUP(A88,'[1]Raw data'!$B:$Z,2,FALSE)</f>
        <v>C49SZX20220049JY</v>
      </c>
      <c r="R88" s="584" t="str">
        <f>VLOOKUP(A88,'[1]Raw data'!$B:$Z,3,FALSE)</f>
        <v>辉拓</v>
      </c>
      <c r="S88" s="584" t="str">
        <f>VLOOKUP(A88,'[1]Raw data'!$B:$Z,4,FALSE)</f>
        <v>YSM20R-2</v>
      </c>
      <c r="T88" s="584" t="str">
        <f>VLOOKUP(A88,'[1]Raw data'!$B:$Z,8,FALSE)</f>
        <v>L-&gt;R</v>
      </c>
      <c r="U88" s="584" t="str">
        <f>VLOOKUP(A88,'[1]Raw data'!$B:$Z,9,FALSE)</f>
        <v>MVC</v>
      </c>
      <c r="V88" s="583" t="str">
        <f t="shared" ref="V88:V89" si="44">IF(G88&amp;H88=T88&amp;U88,"OK","WRONG")</f>
        <v>WRONG</v>
      </c>
      <c r="X88" s="591">
        <f>VLOOKUP(A88,'[1]Raw data'!$B:$BA,31,FALSE)</f>
        <v>44672</v>
      </c>
      <c r="Y88" s="584" t="str">
        <f>VLOOKUP(A88,'[1]Raw data'!$B:$AS,39,FALSE)</f>
        <v>Yes</v>
      </c>
      <c r="AO88" s="612" t="str">
        <f t="shared" si="14"/>
        <v>Yes</v>
      </c>
      <c r="AP88" s="260" t="str">
        <f t="shared" si="12"/>
        <v>blank</v>
      </c>
      <c r="AQ88" s="548" t="str">
        <f t="shared" si="28"/>
        <v>有定金+无客戶送貨期</v>
      </c>
      <c r="AR88" s="260" t="str">
        <f t="shared" si="29"/>
        <v/>
      </c>
      <c r="AS88" s="260" t="str">
        <f t="shared" si="30"/>
        <v/>
      </c>
    </row>
    <row r="89" spans="1:45" hidden="1">
      <c r="A89" s="565">
        <v>1654</v>
      </c>
      <c r="P89" s="585" t="str">
        <f>VLOOKUP(A89,'[1]Raw data'!$B:$BA,23,FALSE)</f>
        <v>JPY</v>
      </c>
      <c r="Q89" s="584" t="str">
        <f>VLOOKUP(A89,'[1]Raw data'!$B:$Z,2,FALSE)</f>
        <v>C49SZX20220049JY</v>
      </c>
      <c r="R89" s="584" t="str">
        <f>VLOOKUP(A89,'[1]Raw data'!$B:$Z,3,FALSE)</f>
        <v>辉拓</v>
      </c>
      <c r="S89" s="584" t="str">
        <f>VLOOKUP(A89,'[1]Raw data'!$B:$Z,4,FALSE)</f>
        <v>YSM20R-2</v>
      </c>
      <c r="T89" s="584" t="str">
        <f>VLOOKUP(A89,'[1]Raw data'!$B:$Z,8,FALSE)</f>
        <v>L-&gt;R</v>
      </c>
      <c r="U89" s="584" t="str">
        <f>VLOOKUP(A89,'[1]Raw data'!$B:$Z,9,FALSE)</f>
        <v>No</v>
      </c>
      <c r="V89" s="583" t="str">
        <f t="shared" si="44"/>
        <v>WRONG</v>
      </c>
      <c r="X89" s="591">
        <f>VLOOKUP(A89,'[1]Raw data'!$B:$BA,31,FALSE)</f>
        <v>44672</v>
      </c>
      <c r="Y89" s="584" t="str">
        <f>VLOOKUP(A89,'[1]Raw data'!$B:$AS,39,FALSE)</f>
        <v>Yes</v>
      </c>
      <c r="AO89" s="612" t="str">
        <f t="shared" si="14"/>
        <v>Yes</v>
      </c>
      <c r="AP89" s="260" t="str">
        <f t="shared" si="12"/>
        <v>blank</v>
      </c>
      <c r="AQ89" s="548" t="str">
        <f t="shared" si="28"/>
        <v>有定金+无客戶送貨期</v>
      </c>
      <c r="AR89" s="260" t="str">
        <f t="shared" si="29"/>
        <v/>
      </c>
      <c r="AS89" s="260" t="str">
        <f t="shared" si="30"/>
        <v/>
      </c>
    </row>
    <row r="90" spans="1:45" hidden="1">
      <c r="A90" s="565">
        <v>2073</v>
      </c>
      <c r="P90" s="585" t="str">
        <f>VLOOKUP(A90,'[1]Raw data'!$B:$BA,23,FALSE)</f>
        <v>JPY</v>
      </c>
      <c r="Q90" s="584" t="str">
        <f>VLOOKUP(A90,'[1]Raw data'!$B:$Z,2,FALSE)</f>
        <v>C49SZX20230010MZ</v>
      </c>
      <c r="R90" s="584" t="str">
        <f>VLOOKUP(A90,'[1]Raw data'!$B:$Z,3,FALSE)</f>
        <v>鸿楠</v>
      </c>
      <c r="S90" s="584" t="str">
        <f>VLOOKUP(A90,'[1]Raw data'!$B:$Z,4,FALSE)</f>
        <v>YSM20R-2</v>
      </c>
      <c r="T90" s="584" t="str">
        <f>VLOOKUP(A90,'[1]Raw data'!$B:$Z,8,FALSE)</f>
        <v>R-&gt;L</v>
      </c>
      <c r="U90" s="584" t="str">
        <f>VLOOKUP(A90,'[1]Raw data'!$B:$Z,9,FALSE)</f>
        <v>No</v>
      </c>
      <c r="V90" s="583" t="str">
        <f t="shared" ref="V90:V101" si="45">IF(G90&amp;H90=T90&amp;U90,"OK","WRONG")</f>
        <v>WRONG</v>
      </c>
      <c r="X90" s="591">
        <f>VLOOKUP(A90,'[1]Raw data'!$B:$BA,31,FALSE)</f>
        <v>45313</v>
      </c>
      <c r="Y90" s="584" t="str">
        <f>VLOOKUP(A90,'[1]Raw data'!$B:$AS,39,FALSE)</f>
        <v>No</v>
      </c>
      <c r="AO90" s="612" t="str">
        <f t="shared" si="14"/>
        <v>No</v>
      </c>
      <c r="AP90" s="260" t="str">
        <f t="shared" si="12"/>
        <v>blank</v>
      </c>
      <c r="AQ90" s="548" t="str">
        <f t="shared" si="28"/>
        <v>无定金+无客戶送貨期</v>
      </c>
      <c r="AR90" s="260" t="str">
        <f t="shared" si="29"/>
        <v/>
      </c>
      <c r="AS90" s="260" t="str">
        <f t="shared" si="30"/>
        <v/>
      </c>
    </row>
    <row r="91" spans="1:45" hidden="1">
      <c r="A91" s="565">
        <v>2074</v>
      </c>
      <c r="P91" s="585" t="str">
        <f>VLOOKUP(A91,'[1]Raw data'!$B:$BA,23,FALSE)</f>
        <v>JPY</v>
      </c>
      <c r="Q91" s="584" t="str">
        <f>VLOOKUP(A91,'[1]Raw data'!$B:$Z,2,FALSE)</f>
        <v>C49SZX20230010MZ</v>
      </c>
      <c r="R91" s="584" t="str">
        <f>VLOOKUP(A91,'[1]Raw data'!$B:$Z,3,FALSE)</f>
        <v>鸿楠</v>
      </c>
      <c r="S91" s="584" t="str">
        <f>VLOOKUP(A91,'[1]Raw data'!$B:$Z,4,FALSE)</f>
        <v>YSM20R-2</v>
      </c>
      <c r="T91" s="584" t="str">
        <f>VLOOKUP(A91,'[1]Raw data'!$B:$Z,8,FALSE)</f>
        <v>R-&gt;L</v>
      </c>
      <c r="U91" s="584" t="str">
        <f>VLOOKUP(A91,'[1]Raw data'!$B:$Z,9,FALSE)</f>
        <v>No</v>
      </c>
      <c r="V91" s="583" t="str">
        <f t="shared" si="45"/>
        <v>WRONG</v>
      </c>
      <c r="X91" s="591">
        <f>VLOOKUP(A91,'[1]Raw data'!$B:$BA,31,FALSE)</f>
        <v>45313</v>
      </c>
      <c r="Y91" s="584" t="str">
        <f>VLOOKUP(A91,'[1]Raw data'!$B:$AS,39,FALSE)</f>
        <v>No</v>
      </c>
      <c r="AO91" s="612" t="str">
        <f t="shared" si="14"/>
        <v>No</v>
      </c>
      <c r="AP91" s="260" t="str">
        <f t="shared" si="12"/>
        <v>blank</v>
      </c>
      <c r="AQ91" s="548" t="str">
        <f t="shared" si="28"/>
        <v>无定金+无客戶送貨期</v>
      </c>
      <c r="AR91" s="260" t="str">
        <f t="shared" si="29"/>
        <v/>
      </c>
      <c r="AS91" s="260" t="str">
        <f t="shared" si="30"/>
        <v/>
      </c>
    </row>
    <row r="92" spans="1:45" hidden="1">
      <c r="A92" s="565">
        <v>2075</v>
      </c>
      <c r="P92" s="585" t="str">
        <f>VLOOKUP(A92,'[1]Raw data'!$B:$BA,23,FALSE)</f>
        <v>JPY</v>
      </c>
      <c r="Q92" s="584" t="str">
        <f>VLOOKUP(A92,'[1]Raw data'!$B:$Z,2,FALSE)</f>
        <v>C49SZX20230010MZ</v>
      </c>
      <c r="R92" s="584" t="str">
        <f>VLOOKUP(A92,'[1]Raw data'!$B:$Z,3,FALSE)</f>
        <v>鸿楠</v>
      </c>
      <c r="S92" s="584" t="str">
        <f>VLOOKUP(A92,'[1]Raw data'!$B:$Z,4,FALSE)</f>
        <v>YSM10</v>
      </c>
      <c r="T92" s="584" t="str">
        <f>VLOOKUP(A92,'[1]Raw data'!$B:$Z,8,FALSE)</f>
        <v>R-&gt;L</v>
      </c>
      <c r="U92" s="584" t="str">
        <f>VLOOKUP(A92,'[1]Raw data'!$B:$Z,9,FALSE)</f>
        <v>MVC</v>
      </c>
      <c r="V92" s="583" t="str">
        <f t="shared" si="45"/>
        <v>WRONG</v>
      </c>
      <c r="X92" s="591">
        <f>VLOOKUP(A92,'[1]Raw data'!$B:$BA,31,FALSE)</f>
        <v>45313</v>
      </c>
      <c r="Y92" s="584" t="str">
        <f>VLOOKUP(A92,'[1]Raw data'!$B:$AS,39,FALSE)</f>
        <v>No</v>
      </c>
      <c r="AO92" s="612" t="str">
        <f t="shared" si="14"/>
        <v>No</v>
      </c>
      <c r="AP92" s="260" t="str">
        <f t="shared" si="12"/>
        <v>blank</v>
      </c>
      <c r="AQ92" s="548" t="str">
        <f t="shared" si="28"/>
        <v>无定金+无客戶送貨期</v>
      </c>
      <c r="AR92" s="260" t="str">
        <f t="shared" si="29"/>
        <v/>
      </c>
      <c r="AS92" s="260" t="str">
        <f t="shared" si="30"/>
        <v/>
      </c>
    </row>
    <row r="93" spans="1:45" hidden="1">
      <c r="A93" s="565">
        <v>2076</v>
      </c>
      <c r="P93" s="585" t="str">
        <f>VLOOKUP(A93,'[1]Raw data'!$B:$BA,23,FALSE)</f>
        <v>JPY</v>
      </c>
      <c r="Q93" s="584" t="str">
        <f>VLOOKUP(A93,'[1]Raw data'!$B:$Z,2,FALSE)</f>
        <v>C49SZX20230010MZ</v>
      </c>
      <c r="R93" s="584" t="str">
        <f>VLOOKUP(A93,'[1]Raw data'!$B:$Z,3,FALSE)</f>
        <v>鸿楠</v>
      </c>
      <c r="S93" s="584" t="str">
        <f>VLOOKUP(A93,'[1]Raw data'!$B:$Z,4,FALSE)</f>
        <v>YSM10</v>
      </c>
      <c r="T93" s="584" t="str">
        <f>VLOOKUP(A93,'[1]Raw data'!$B:$Z,8,FALSE)</f>
        <v>R-&gt;L</v>
      </c>
      <c r="U93" s="584" t="str">
        <f>VLOOKUP(A93,'[1]Raw data'!$B:$Z,9,FALSE)</f>
        <v>MVC</v>
      </c>
      <c r="V93" s="583" t="str">
        <f t="shared" si="45"/>
        <v>WRONG</v>
      </c>
      <c r="X93" s="591">
        <f>VLOOKUP(A93,'[1]Raw data'!$B:$BA,31,FALSE)</f>
        <v>45313</v>
      </c>
      <c r="Y93" s="584" t="str">
        <f>VLOOKUP(A93,'[1]Raw data'!$B:$AS,39,FALSE)</f>
        <v>No</v>
      </c>
      <c r="AO93" s="612" t="str">
        <f t="shared" si="14"/>
        <v>No</v>
      </c>
      <c r="AP93" s="260" t="str">
        <f t="shared" si="12"/>
        <v>blank</v>
      </c>
      <c r="AQ93" s="548" t="str">
        <f t="shared" si="28"/>
        <v>无定金+无客戶送貨期</v>
      </c>
      <c r="AR93" s="260" t="str">
        <f t="shared" si="29"/>
        <v/>
      </c>
      <c r="AS93" s="260" t="str">
        <f t="shared" si="30"/>
        <v/>
      </c>
    </row>
    <row r="94" spans="1:45" hidden="1">
      <c r="A94" s="565">
        <v>2078</v>
      </c>
      <c r="P94" s="585" t="str">
        <f>VLOOKUP(A94,'[1]Raw data'!$B:$BA,23,FALSE)</f>
        <v>JPY</v>
      </c>
      <c r="Q94" s="584" t="str">
        <f>VLOOKUP(A94,'[1]Raw data'!$B:$Z,2,FALSE)</f>
        <v>C28SZX20240012MZ</v>
      </c>
      <c r="R94" s="584" t="str">
        <f>VLOOKUP(A94,'[1]Raw data'!$B:$Z,3,FALSE)</f>
        <v>鸿楠</v>
      </c>
      <c r="S94" s="584" t="str">
        <f>VLOOKUP(A94,'[1]Raw data'!$B:$Z,4,FALSE)</f>
        <v>YSi-V</v>
      </c>
      <c r="T94" s="584" t="str">
        <f>VLOOKUP(A94,'[1]Raw data'!$B:$Z,8,FALSE)</f>
        <v>R-&gt;L</v>
      </c>
      <c r="U94" s="584" t="str">
        <f>VLOOKUP(A94,'[1]Raw data'!$B:$Z,9,FALSE)</f>
        <v>No</v>
      </c>
      <c r="V94" s="583" t="str">
        <f t="shared" si="45"/>
        <v>WRONG</v>
      </c>
      <c r="X94" s="591">
        <f>VLOOKUP(A94,'[1]Raw data'!$B:$BA,31,FALSE)</f>
        <v>45313</v>
      </c>
      <c r="Y94" s="584" t="str">
        <f>VLOOKUP(A94,'[1]Raw data'!$B:$AS,39,FALSE)</f>
        <v>No</v>
      </c>
      <c r="AO94" s="612" t="str">
        <f t="shared" si="14"/>
        <v>No</v>
      </c>
      <c r="AP94" s="260" t="str">
        <f t="shared" si="12"/>
        <v>blank</v>
      </c>
      <c r="AQ94" s="548" t="str">
        <f t="shared" si="28"/>
        <v>无定金+无客戶送貨期</v>
      </c>
      <c r="AR94" s="260" t="str">
        <f t="shared" si="29"/>
        <v/>
      </c>
      <c r="AS94" s="260" t="str">
        <f t="shared" si="30"/>
        <v/>
      </c>
    </row>
    <row r="95" spans="1:45" hidden="1">
      <c r="P95" s="585" t="e">
        <f>VLOOKUP(A95,'[1]Raw data'!$B:$BA,23,FALSE)</f>
        <v>#N/A</v>
      </c>
      <c r="Q95" s="584" t="e">
        <f>VLOOKUP(A95,'[1]Raw data'!$B:$Z,2,FALSE)</f>
        <v>#N/A</v>
      </c>
      <c r="R95" s="584" t="e">
        <f>VLOOKUP(A95,'[1]Raw data'!$B:$Z,3,FALSE)</f>
        <v>#N/A</v>
      </c>
      <c r="S95" s="584" t="e">
        <f>VLOOKUP(A95,'[1]Raw data'!$B:$Z,4,FALSE)</f>
        <v>#N/A</v>
      </c>
      <c r="T95" s="584" t="e">
        <f>VLOOKUP(A95,'[1]Raw data'!$B:$Z,8,FALSE)</f>
        <v>#N/A</v>
      </c>
      <c r="U95" s="584" t="e">
        <f>VLOOKUP(A95,'[1]Raw data'!$B:$Z,9,FALSE)</f>
        <v>#N/A</v>
      </c>
      <c r="V95" s="583" t="e">
        <f t="shared" si="45"/>
        <v>#N/A</v>
      </c>
      <c r="X95" s="591" t="e">
        <f>VLOOKUP(A95,'[1]Raw data'!$B:$BA,31,FALSE)</f>
        <v>#N/A</v>
      </c>
      <c r="Y95" s="584" t="e">
        <f>VLOOKUP(A95,'[1]Raw data'!$B:$AS,39,FALSE)</f>
        <v>#N/A</v>
      </c>
      <c r="AO95" s="612" t="str">
        <f t="shared" ref="AO95:AO149" si="46">IFERROR(IF(Y95&lt;&gt;"",Y95,"blank"),"NA")</f>
        <v>NA</v>
      </c>
      <c r="AP95" s="260" t="str">
        <f t="shared" ref="AP95:AP149" si="47">IFERROR(IF(N95&lt;&gt;"",N95,"blank"),"NA")</f>
        <v>blank</v>
      </c>
      <c r="AQ95" s="548" t="str">
        <f t="shared" si="28"/>
        <v>无定金+无客戶送貨期</v>
      </c>
      <c r="AR95" s="260" t="str">
        <f t="shared" si="29"/>
        <v/>
      </c>
      <c r="AS95" s="260" t="str">
        <f t="shared" si="30"/>
        <v/>
      </c>
    </row>
    <row r="96" spans="1:45" hidden="1">
      <c r="P96" s="585" t="e">
        <f>VLOOKUP(A96,'[1]Raw data'!$B:$BA,23,FALSE)</f>
        <v>#N/A</v>
      </c>
      <c r="Q96" s="584" t="e">
        <f>VLOOKUP(A96,'[1]Raw data'!$B:$Z,2,FALSE)</f>
        <v>#N/A</v>
      </c>
      <c r="R96" s="584" t="e">
        <f>VLOOKUP(A96,'[1]Raw data'!$B:$Z,3,FALSE)</f>
        <v>#N/A</v>
      </c>
      <c r="S96" s="584" t="e">
        <f>VLOOKUP(A96,'[1]Raw data'!$B:$Z,4,FALSE)</f>
        <v>#N/A</v>
      </c>
      <c r="T96" s="584" t="e">
        <f>VLOOKUP(A96,'[1]Raw data'!$B:$Z,8,FALSE)</f>
        <v>#N/A</v>
      </c>
      <c r="U96" s="584" t="e">
        <f>VLOOKUP(A96,'[1]Raw data'!$B:$Z,9,FALSE)</f>
        <v>#N/A</v>
      </c>
      <c r="V96" s="583" t="e">
        <f t="shared" si="45"/>
        <v>#N/A</v>
      </c>
      <c r="X96" s="591" t="e">
        <f>VLOOKUP(A96,'[1]Raw data'!$B:$BA,31,FALSE)</f>
        <v>#N/A</v>
      </c>
      <c r="Y96" s="584" t="e">
        <f>VLOOKUP(A96,'[1]Raw data'!$B:$AS,39,FALSE)</f>
        <v>#N/A</v>
      </c>
      <c r="AO96" s="612" t="str">
        <f t="shared" si="46"/>
        <v>NA</v>
      </c>
      <c r="AP96" s="260" t="str">
        <f t="shared" si="47"/>
        <v>blank</v>
      </c>
      <c r="AQ96" s="548" t="str">
        <f t="shared" si="28"/>
        <v>无定金+无客戶送貨期</v>
      </c>
      <c r="AR96" s="260" t="str">
        <f t="shared" si="29"/>
        <v/>
      </c>
      <c r="AS96" s="260" t="str">
        <f t="shared" si="30"/>
        <v/>
      </c>
    </row>
    <row r="97" spans="16:45" hidden="1">
      <c r="P97" s="585" t="e">
        <f>VLOOKUP(A97,'[1]Raw data'!$B:$BA,23,FALSE)</f>
        <v>#N/A</v>
      </c>
      <c r="Q97" s="584" t="e">
        <f>VLOOKUP(A97,'[1]Raw data'!$B:$Z,2,FALSE)</f>
        <v>#N/A</v>
      </c>
      <c r="R97" s="584" t="e">
        <f>VLOOKUP(A97,'[1]Raw data'!$B:$Z,3,FALSE)</f>
        <v>#N/A</v>
      </c>
      <c r="S97" s="584" t="e">
        <f>VLOOKUP(A97,'[1]Raw data'!$B:$Z,4,FALSE)</f>
        <v>#N/A</v>
      </c>
      <c r="T97" s="584" t="e">
        <f>VLOOKUP(A97,'[1]Raw data'!$B:$Z,8,FALSE)</f>
        <v>#N/A</v>
      </c>
      <c r="U97" s="584" t="e">
        <f>VLOOKUP(A97,'[1]Raw data'!$B:$Z,9,FALSE)</f>
        <v>#N/A</v>
      </c>
      <c r="V97" s="583" t="e">
        <f t="shared" si="45"/>
        <v>#N/A</v>
      </c>
      <c r="X97" s="591" t="e">
        <f>VLOOKUP(A97,'[1]Raw data'!$B:$BA,31,FALSE)</f>
        <v>#N/A</v>
      </c>
      <c r="Y97" s="584" t="e">
        <f>VLOOKUP(A97,'[1]Raw data'!$B:$AS,39,FALSE)</f>
        <v>#N/A</v>
      </c>
      <c r="AO97" s="612" t="str">
        <f t="shared" si="46"/>
        <v>NA</v>
      </c>
      <c r="AP97" s="260" t="str">
        <f t="shared" si="47"/>
        <v>blank</v>
      </c>
      <c r="AQ97" s="548" t="str">
        <f t="shared" si="28"/>
        <v>无定金+无客戶送貨期</v>
      </c>
      <c r="AR97" s="260" t="str">
        <f t="shared" si="29"/>
        <v/>
      </c>
      <c r="AS97" s="260" t="str">
        <f t="shared" si="30"/>
        <v/>
      </c>
    </row>
    <row r="98" spans="16:45" hidden="1">
      <c r="P98" s="585" t="e">
        <f>VLOOKUP(A98,'[1]Raw data'!$B:$BA,23,FALSE)</f>
        <v>#N/A</v>
      </c>
      <c r="Q98" s="584" t="e">
        <f>VLOOKUP(A98,'[1]Raw data'!$B:$Z,2,FALSE)</f>
        <v>#N/A</v>
      </c>
      <c r="R98" s="584" t="e">
        <f>VLOOKUP(A98,'[1]Raw data'!$B:$Z,3,FALSE)</f>
        <v>#N/A</v>
      </c>
      <c r="S98" s="584" t="e">
        <f>VLOOKUP(A98,'[1]Raw data'!$B:$Z,4,FALSE)</f>
        <v>#N/A</v>
      </c>
      <c r="T98" s="584" t="e">
        <f>VLOOKUP(A98,'[1]Raw data'!$B:$Z,8,FALSE)</f>
        <v>#N/A</v>
      </c>
      <c r="U98" s="584" t="e">
        <f>VLOOKUP(A98,'[1]Raw data'!$B:$Z,9,FALSE)</f>
        <v>#N/A</v>
      </c>
      <c r="V98" s="583" t="e">
        <f t="shared" si="45"/>
        <v>#N/A</v>
      </c>
      <c r="X98" s="591" t="e">
        <f>VLOOKUP(A98,'[1]Raw data'!$B:$BA,31,FALSE)</f>
        <v>#N/A</v>
      </c>
      <c r="Y98" s="584" t="e">
        <f>VLOOKUP(A98,'[1]Raw data'!$B:$AS,39,FALSE)</f>
        <v>#N/A</v>
      </c>
      <c r="AO98" s="612" t="str">
        <f t="shared" si="46"/>
        <v>NA</v>
      </c>
      <c r="AP98" s="260" t="str">
        <f t="shared" si="47"/>
        <v>blank</v>
      </c>
      <c r="AQ98" s="548" t="str">
        <f t="shared" si="28"/>
        <v>无定金+无客戶送貨期</v>
      </c>
      <c r="AR98" s="260" t="str">
        <f t="shared" si="29"/>
        <v/>
      </c>
      <c r="AS98" s="260" t="str">
        <f t="shared" si="30"/>
        <v/>
      </c>
    </row>
    <row r="99" spans="16:45" hidden="1">
      <c r="P99" s="585" t="e">
        <f>VLOOKUP(A99,'[1]Raw data'!$B:$BA,23,FALSE)</f>
        <v>#N/A</v>
      </c>
      <c r="Q99" s="584" t="e">
        <f>VLOOKUP(A99,'[1]Raw data'!$B:$Z,2,FALSE)</f>
        <v>#N/A</v>
      </c>
      <c r="R99" s="584" t="e">
        <f>VLOOKUP(A99,'[1]Raw data'!$B:$Z,3,FALSE)</f>
        <v>#N/A</v>
      </c>
      <c r="S99" s="584" t="e">
        <f>VLOOKUP(A99,'[1]Raw data'!$B:$Z,4,FALSE)</f>
        <v>#N/A</v>
      </c>
      <c r="T99" s="584" t="e">
        <f>VLOOKUP(A99,'[1]Raw data'!$B:$Z,8,FALSE)</f>
        <v>#N/A</v>
      </c>
      <c r="U99" s="584" t="e">
        <f>VLOOKUP(A99,'[1]Raw data'!$B:$Z,9,FALSE)</f>
        <v>#N/A</v>
      </c>
      <c r="V99" s="583" t="e">
        <f t="shared" si="45"/>
        <v>#N/A</v>
      </c>
      <c r="X99" s="591" t="e">
        <f>VLOOKUP(A99,'[1]Raw data'!$B:$BA,31,FALSE)</f>
        <v>#N/A</v>
      </c>
      <c r="Y99" s="584" t="e">
        <f>VLOOKUP(A99,'[1]Raw data'!$B:$AS,39,FALSE)</f>
        <v>#N/A</v>
      </c>
      <c r="AO99" s="612" t="str">
        <f t="shared" si="46"/>
        <v>NA</v>
      </c>
      <c r="AP99" s="260" t="str">
        <f t="shared" si="47"/>
        <v>blank</v>
      </c>
      <c r="AQ99" s="548" t="str">
        <f t="shared" si="28"/>
        <v>无定金+无客戶送貨期</v>
      </c>
      <c r="AR99" s="260" t="str">
        <f t="shared" si="29"/>
        <v/>
      </c>
      <c r="AS99" s="260" t="str">
        <f t="shared" si="30"/>
        <v/>
      </c>
    </row>
    <row r="100" spans="16:45" hidden="1">
      <c r="P100" s="585" t="e">
        <f>VLOOKUP(A100,'[1]Raw data'!$B:$BA,23,FALSE)</f>
        <v>#N/A</v>
      </c>
      <c r="Q100" s="584" t="e">
        <f>VLOOKUP(A100,'[1]Raw data'!$B:$Z,2,FALSE)</f>
        <v>#N/A</v>
      </c>
      <c r="R100" s="584" t="e">
        <f>VLOOKUP(A100,'[1]Raw data'!$B:$Z,3,FALSE)</f>
        <v>#N/A</v>
      </c>
      <c r="S100" s="584" t="e">
        <f>VLOOKUP(A100,'[1]Raw data'!$B:$Z,4,FALSE)</f>
        <v>#N/A</v>
      </c>
      <c r="T100" s="584" t="e">
        <f>VLOOKUP(A100,'[1]Raw data'!$B:$Z,8,FALSE)</f>
        <v>#N/A</v>
      </c>
      <c r="U100" s="584" t="e">
        <f>VLOOKUP(A100,'[1]Raw data'!$B:$Z,9,FALSE)</f>
        <v>#N/A</v>
      </c>
      <c r="V100" s="583" t="e">
        <f t="shared" si="45"/>
        <v>#N/A</v>
      </c>
      <c r="X100" s="591" t="e">
        <f>VLOOKUP(A100,'[1]Raw data'!$B:$BA,31,FALSE)</f>
        <v>#N/A</v>
      </c>
      <c r="Y100" s="584" t="e">
        <f>VLOOKUP(A100,'[1]Raw data'!$B:$AS,39,FALSE)</f>
        <v>#N/A</v>
      </c>
      <c r="AO100" s="612" t="str">
        <f t="shared" si="46"/>
        <v>NA</v>
      </c>
      <c r="AP100" s="260" t="str">
        <f t="shared" si="47"/>
        <v>blank</v>
      </c>
      <c r="AQ100" s="548" t="str">
        <f t="shared" si="28"/>
        <v>无定金+无客戶送貨期</v>
      </c>
      <c r="AR100" s="260" t="str">
        <f t="shared" si="29"/>
        <v/>
      </c>
      <c r="AS100" s="260" t="str">
        <f t="shared" si="30"/>
        <v/>
      </c>
    </row>
    <row r="101" spans="16:45" hidden="1">
      <c r="P101" s="585" t="e">
        <f>VLOOKUP(A101,'[1]Raw data'!$B:$BA,23,FALSE)</f>
        <v>#N/A</v>
      </c>
      <c r="Q101" s="584" t="e">
        <f>VLOOKUP(A101,'[1]Raw data'!$B:$Z,2,FALSE)</f>
        <v>#N/A</v>
      </c>
      <c r="R101" s="584" t="e">
        <f>VLOOKUP(A101,'[1]Raw data'!$B:$Z,3,FALSE)</f>
        <v>#N/A</v>
      </c>
      <c r="S101" s="584" t="e">
        <f>VLOOKUP(A101,'[1]Raw data'!$B:$Z,4,FALSE)</f>
        <v>#N/A</v>
      </c>
      <c r="T101" s="584" t="e">
        <f>VLOOKUP(A101,'[1]Raw data'!$B:$Z,8,FALSE)</f>
        <v>#N/A</v>
      </c>
      <c r="U101" s="584" t="e">
        <f>VLOOKUP(A101,'[1]Raw data'!$B:$Z,9,FALSE)</f>
        <v>#N/A</v>
      </c>
      <c r="V101" s="583" t="e">
        <f t="shared" si="45"/>
        <v>#N/A</v>
      </c>
      <c r="X101" s="591" t="e">
        <f>VLOOKUP(A101,'[1]Raw data'!$B:$BA,31,FALSE)</f>
        <v>#N/A</v>
      </c>
      <c r="Y101" s="584" t="e">
        <f>VLOOKUP(A101,'[1]Raw data'!$B:$AS,39,FALSE)</f>
        <v>#N/A</v>
      </c>
      <c r="AO101" s="612" t="str">
        <f t="shared" si="46"/>
        <v>NA</v>
      </c>
      <c r="AP101" s="260" t="str">
        <f t="shared" si="47"/>
        <v>blank</v>
      </c>
      <c r="AQ101" s="548" t="str">
        <f t="shared" si="28"/>
        <v>无定金+无客戶送貨期</v>
      </c>
      <c r="AR101" s="260" t="str">
        <f t="shared" si="29"/>
        <v/>
      </c>
      <c r="AS101" s="260" t="str">
        <f t="shared" si="30"/>
        <v/>
      </c>
    </row>
    <row r="102" spans="16:45" hidden="1">
      <c r="AO102" s="612" t="str">
        <f t="shared" si="46"/>
        <v>blank</v>
      </c>
      <c r="AP102" s="260" t="str">
        <f t="shared" si="47"/>
        <v>blank</v>
      </c>
      <c r="AQ102" s="548" t="str">
        <f t="shared" si="28"/>
        <v/>
      </c>
      <c r="AR102" s="260" t="str">
        <f t="shared" si="29"/>
        <v/>
      </c>
      <c r="AS102" s="260" t="str">
        <f t="shared" si="30"/>
        <v/>
      </c>
    </row>
    <row r="103" spans="16:45" hidden="1">
      <c r="AO103" s="612" t="str">
        <f t="shared" si="46"/>
        <v>blank</v>
      </c>
      <c r="AP103" s="260" t="str">
        <f t="shared" si="47"/>
        <v>blank</v>
      </c>
      <c r="AQ103" s="548" t="str">
        <f t="shared" si="28"/>
        <v/>
      </c>
      <c r="AR103" s="260" t="str">
        <f t="shared" si="29"/>
        <v/>
      </c>
      <c r="AS103" s="260" t="str">
        <f t="shared" si="30"/>
        <v/>
      </c>
    </row>
    <row r="104" spans="16:45" hidden="1">
      <c r="AO104" s="612" t="str">
        <f t="shared" si="46"/>
        <v>blank</v>
      </c>
      <c r="AP104" s="260" t="str">
        <f t="shared" si="47"/>
        <v>blank</v>
      </c>
      <c r="AQ104" s="548" t="str">
        <f t="shared" si="28"/>
        <v/>
      </c>
      <c r="AR104" s="260" t="str">
        <f t="shared" si="29"/>
        <v/>
      </c>
      <c r="AS104" s="260" t="str">
        <f t="shared" si="30"/>
        <v/>
      </c>
    </row>
    <row r="105" spans="16:45" hidden="1">
      <c r="AO105" s="612" t="str">
        <f t="shared" si="46"/>
        <v>blank</v>
      </c>
      <c r="AP105" s="260" t="str">
        <f t="shared" si="47"/>
        <v>blank</v>
      </c>
      <c r="AQ105" s="548" t="str">
        <f t="shared" si="28"/>
        <v/>
      </c>
      <c r="AR105" s="260" t="str">
        <f t="shared" si="29"/>
        <v/>
      </c>
      <c r="AS105" s="260" t="str">
        <f t="shared" si="30"/>
        <v/>
      </c>
    </row>
    <row r="106" spans="16:45" hidden="1">
      <c r="AO106" s="612" t="str">
        <f t="shared" si="46"/>
        <v>blank</v>
      </c>
      <c r="AP106" s="260" t="str">
        <f t="shared" si="47"/>
        <v>blank</v>
      </c>
      <c r="AQ106" s="548" t="str">
        <f t="shared" si="28"/>
        <v/>
      </c>
      <c r="AR106" s="260" t="str">
        <f t="shared" si="29"/>
        <v/>
      </c>
      <c r="AS106" s="260" t="str">
        <f t="shared" si="30"/>
        <v/>
      </c>
    </row>
    <row r="107" spans="16:45" hidden="1">
      <c r="AO107" s="612" t="str">
        <f t="shared" si="46"/>
        <v>blank</v>
      </c>
      <c r="AP107" s="260" t="str">
        <f t="shared" si="47"/>
        <v>blank</v>
      </c>
      <c r="AQ107" s="548" t="str">
        <f t="shared" si="28"/>
        <v/>
      </c>
      <c r="AR107" s="260" t="str">
        <f t="shared" si="29"/>
        <v/>
      </c>
      <c r="AS107" s="260" t="str">
        <f t="shared" si="30"/>
        <v/>
      </c>
    </row>
    <row r="108" spans="16:45" hidden="1">
      <c r="AO108" s="612" t="str">
        <f t="shared" si="46"/>
        <v>blank</v>
      </c>
      <c r="AP108" s="260" t="str">
        <f t="shared" si="47"/>
        <v>blank</v>
      </c>
      <c r="AQ108" s="548" t="str">
        <f t="shared" si="28"/>
        <v/>
      </c>
      <c r="AR108" s="260" t="str">
        <f t="shared" si="29"/>
        <v/>
      </c>
      <c r="AS108" s="260" t="str">
        <f t="shared" si="30"/>
        <v/>
      </c>
    </row>
    <row r="109" spans="16:45" hidden="1">
      <c r="AO109" s="612" t="str">
        <f t="shared" si="46"/>
        <v>blank</v>
      </c>
      <c r="AP109" s="260" t="str">
        <f t="shared" si="47"/>
        <v>blank</v>
      </c>
      <c r="AQ109" s="548" t="str">
        <f t="shared" si="28"/>
        <v/>
      </c>
      <c r="AR109" s="260" t="str">
        <f t="shared" si="29"/>
        <v/>
      </c>
      <c r="AS109" s="260" t="str">
        <f t="shared" si="30"/>
        <v/>
      </c>
    </row>
    <row r="110" spans="16:45" hidden="1">
      <c r="AO110" s="612" t="str">
        <f t="shared" si="46"/>
        <v>blank</v>
      </c>
      <c r="AP110" s="260" t="str">
        <f t="shared" si="47"/>
        <v>blank</v>
      </c>
      <c r="AQ110" s="548" t="str">
        <f t="shared" si="28"/>
        <v/>
      </c>
      <c r="AR110" s="260" t="str">
        <f t="shared" si="29"/>
        <v/>
      </c>
      <c r="AS110" s="260" t="str">
        <f t="shared" si="30"/>
        <v/>
      </c>
    </row>
    <row r="111" spans="16:45" hidden="1">
      <c r="AO111" s="612" t="str">
        <f t="shared" si="46"/>
        <v>blank</v>
      </c>
      <c r="AP111" s="260" t="str">
        <f t="shared" si="47"/>
        <v>blank</v>
      </c>
      <c r="AQ111" s="548" t="str">
        <f t="shared" si="28"/>
        <v/>
      </c>
      <c r="AR111" s="260" t="str">
        <f t="shared" si="29"/>
        <v/>
      </c>
      <c r="AS111" s="260" t="str">
        <f t="shared" si="30"/>
        <v/>
      </c>
    </row>
    <row r="112" spans="16:45" hidden="1">
      <c r="AO112" s="612" t="str">
        <f t="shared" si="46"/>
        <v>blank</v>
      </c>
      <c r="AP112" s="260" t="str">
        <f t="shared" si="47"/>
        <v>blank</v>
      </c>
      <c r="AQ112" s="548" t="str">
        <f t="shared" si="28"/>
        <v/>
      </c>
      <c r="AR112" s="260" t="str">
        <f t="shared" si="29"/>
        <v/>
      </c>
      <c r="AS112" s="260" t="str">
        <f t="shared" si="30"/>
        <v/>
      </c>
    </row>
    <row r="113" spans="41:45" hidden="1">
      <c r="AO113" s="612" t="str">
        <f t="shared" si="46"/>
        <v>blank</v>
      </c>
      <c r="AP113" s="260" t="str">
        <f t="shared" si="47"/>
        <v>blank</v>
      </c>
      <c r="AQ113" s="548" t="str">
        <f t="shared" si="28"/>
        <v/>
      </c>
      <c r="AR113" s="260" t="str">
        <f t="shared" si="29"/>
        <v/>
      </c>
      <c r="AS113" s="260" t="str">
        <f t="shared" si="30"/>
        <v/>
      </c>
    </row>
    <row r="114" spans="41:45" hidden="1">
      <c r="AO114" s="612" t="str">
        <f t="shared" si="46"/>
        <v>blank</v>
      </c>
      <c r="AP114" s="260" t="str">
        <f t="shared" si="47"/>
        <v>blank</v>
      </c>
      <c r="AQ114" s="548" t="str">
        <f t="shared" si="28"/>
        <v/>
      </c>
      <c r="AR114" s="260" t="str">
        <f t="shared" si="29"/>
        <v/>
      </c>
      <c r="AS114" s="260" t="str">
        <f t="shared" si="30"/>
        <v/>
      </c>
    </row>
    <row r="115" spans="41:45" hidden="1">
      <c r="AO115" s="612" t="str">
        <f t="shared" si="46"/>
        <v>blank</v>
      </c>
      <c r="AP115" s="260" t="str">
        <f t="shared" si="47"/>
        <v>blank</v>
      </c>
      <c r="AQ115" s="548" t="str">
        <f t="shared" si="28"/>
        <v/>
      </c>
      <c r="AR115" s="260" t="str">
        <f t="shared" si="29"/>
        <v/>
      </c>
      <c r="AS115" s="260" t="str">
        <f t="shared" si="30"/>
        <v/>
      </c>
    </row>
    <row r="116" spans="41:45" hidden="1">
      <c r="AO116" s="612" t="str">
        <f t="shared" si="46"/>
        <v>blank</v>
      </c>
      <c r="AP116" s="260" t="str">
        <f t="shared" si="47"/>
        <v>blank</v>
      </c>
      <c r="AQ116" s="548" t="str">
        <f t="shared" si="28"/>
        <v/>
      </c>
      <c r="AR116" s="260" t="str">
        <f t="shared" si="29"/>
        <v/>
      </c>
      <c r="AS116" s="260" t="str">
        <f t="shared" si="30"/>
        <v/>
      </c>
    </row>
    <row r="117" spans="41:45" hidden="1">
      <c r="AO117" s="612" t="str">
        <f t="shared" si="46"/>
        <v>blank</v>
      </c>
      <c r="AP117" s="260" t="str">
        <f t="shared" si="47"/>
        <v>blank</v>
      </c>
      <c r="AQ117" s="548" t="str">
        <f t="shared" si="28"/>
        <v/>
      </c>
      <c r="AR117" s="260" t="str">
        <f t="shared" si="29"/>
        <v/>
      </c>
      <c r="AS117" s="260" t="str">
        <f t="shared" si="30"/>
        <v/>
      </c>
    </row>
    <row r="118" spans="41:45" hidden="1">
      <c r="AO118" s="612" t="str">
        <f t="shared" si="46"/>
        <v>blank</v>
      </c>
      <c r="AP118" s="260" t="str">
        <f t="shared" si="47"/>
        <v>blank</v>
      </c>
      <c r="AQ118" s="548" t="str">
        <f t="shared" si="28"/>
        <v/>
      </c>
      <c r="AR118" s="260" t="str">
        <f t="shared" si="29"/>
        <v/>
      </c>
      <c r="AS118" s="260" t="str">
        <f t="shared" si="30"/>
        <v/>
      </c>
    </row>
    <row r="119" spans="41:45" hidden="1">
      <c r="AO119" s="612" t="str">
        <f t="shared" si="46"/>
        <v>blank</v>
      </c>
      <c r="AP119" s="260" t="str">
        <f t="shared" si="47"/>
        <v>blank</v>
      </c>
      <c r="AQ119" s="548" t="str">
        <f t="shared" si="28"/>
        <v/>
      </c>
      <c r="AR119" s="260" t="str">
        <f t="shared" si="29"/>
        <v/>
      </c>
      <c r="AS119" s="260" t="str">
        <f t="shared" si="30"/>
        <v/>
      </c>
    </row>
    <row r="120" spans="41:45" hidden="1">
      <c r="AO120" s="612" t="str">
        <f t="shared" si="46"/>
        <v>blank</v>
      </c>
      <c r="AP120" s="260" t="str">
        <f t="shared" si="47"/>
        <v>blank</v>
      </c>
      <c r="AQ120" s="548" t="str">
        <f t="shared" si="28"/>
        <v/>
      </c>
      <c r="AR120" s="260" t="str">
        <f t="shared" si="29"/>
        <v/>
      </c>
      <c r="AS120" s="260" t="str">
        <f t="shared" si="30"/>
        <v/>
      </c>
    </row>
    <row r="121" spans="41:45" hidden="1">
      <c r="AO121" s="612" t="str">
        <f t="shared" si="46"/>
        <v>blank</v>
      </c>
      <c r="AP121" s="260" t="str">
        <f t="shared" si="47"/>
        <v>blank</v>
      </c>
      <c r="AQ121" s="548" t="str">
        <f t="shared" si="28"/>
        <v/>
      </c>
      <c r="AR121" s="260" t="str">
        <f t="shared" si="29"/>
        <v/>
      </c>
      <c r="AS121" s="260" t="str">
        <f t="shared" si="30"/>
        <v/>
      </c>
    </row>
    <row r="122" spans="41:45" hidden="1">
      <c r="AO122" s="612" t="str">
        <f t="shared" si="46"/>
        <v>blank</v>
      </c>
      <c r="AP122" s="260" t="str">
        <f t="shared" si="47"/>
        <v>blank</v>
      </c>
      <c r="AQ122" s="548" t="str">
        <f t="shared" si="28"/>
        <v/>
      </c>
      <c r="AR122" s="260" t="str">
        <f t="shared" si="29"/>
        <v/>
      </c>
      <c r="AS122" s="260" t="str">
        <f t="shared" si="30"/>
        <v/>
      </c>
    </row>
    <row r="123" spans="41:45" hidden="1">
      <c r="AO123" s="612" t="str">
        <f t="shared" si="46"/>
        <v>blank</v>
      </c>
      <c r="AP123" s="260" t="str">
        <f t="shared" si="47"/>
        <v>blank</v>
      </c>
      <c r="AQ123" s="548" t="str">
        <f t="shared" si="28"/>
        <v/>
      </c>
      <c r="AR123" s="260" t="str">
        <f t="shared" si="29"/>
        <v/>
      </c>
      <c r="AS123" s="260" t="str">
        <f t="shared" si="30"/>
        <v/>
      </c>
    </row>
    <row r="124" spans="41:45" hidden="1">
      <c r="AO124" s="612" t="str">
        <f t="shared" si="46"/>
        <v>blank</v>
      </c>
      <c r="AP124" s="260" t="str">
        <f t="shared" si="47"/>
        <v>blank</v>
      </c>
      <c r="AQ124" s="548" t="str">
        <f t="shared" si="28"/>
        <v/>
      </c>
      <c r="AR124" s="260" t="str">
        <f t="shared" si="29"/>
        <v/>
      </c>
      <c r="AS124" s="260" t="str">
        <f t="shared" si="30"/>
        <v/>
      </c>
    </row>
    <row r="125" spans="41:45" hidden="1">
      <c r="AO125" s="612" t="str">
        <f t="shared" si="46"/>
        <v>blank</v>
      </c>
      <c r="AP125" s="260" t="str">
        <f t="shared" si="47"/>
        <v>blank</v>
      </c>
      <c r="AQ125" s="548" t="str">
        <f t="shared" si="28"/>
        <v/>
      </c>
      <c r="AR125" s="260" t="str">
        <f t="shared" si="29"/>
        <v/>
      </c>
      <c r="AS125" s="260" t="str">
        <f t="shared" si="30"/>
        <v/>
      </c>
    </row>
    <row r="126" spans="41:45" hidden="1">
      <c r="AO126" s="612" t="str">
        <f t="shared" si="46"/>
        <v>blank</v>
      </c>
      <c r="AP126" s="260" t="str">
        <f t="shared" si="47"/>
        <v>blank</v>
      </c>
      <c r="AQ126" s="548" t="str">
        <f t="shared" si="28"/>
        <v/>
      </c>
      <c r="AR126" s="260" t="str">
        <f t="shared" si="29"/>
        <v/>
      </c>
      <c r="AS126" s="260" t="str">
        <f t="shared" si="30"/>
        <v/>
      </c>
    </row>
    <row r="127" spans="41:45" hidden="1">
      <c r="AO127" s="612" t="str">
        <f t="shared" si="46"/>
        <v>blank</v>
      </c>
      <c r="AP127" s="260" t="str">
        <f t="shared" si="47"/>
        <v>blank</v>
      </c>
      <c r="AQ127" s="548" t="str">
        <f t="shared" si="28"/>
        <v/>
      </c>
      <c r="AR127" s="260" t="str">
        <f t="shared" si="29"/>
        <v/>
      </c>
      <c r="AS127" s="260" t="str">
        <f t="shared" si="30"/>
        <v/>
      </c>
    </row>
    <row r="128" spans="41:45" hidden="1">
      <c r="AO128" s="612" t="str">
        <f t="shared" si="46"/>
        <v>blank</v>
      </c>
      <c r="AP128" s="260" t="str">
        <f t="shared" si="47"/>
        <v>blank</v>
      </c>
      <c r="AQ128" s="548" t="str">
        <f t="shared" si="28"/>
        <v/>
      </c>
      <c r="AR128" s="260" t="str">
        <f t="shared" si="29"/>
        <v/>
      </c>
      <c r="AS128" s="260" t="str">
        <f t="shared" si="30"/>
        <v/>
      </c>
    </row>
    <row r="129" spans="41:45" hidden="1">
      <c r="AO129" s="612" t="str">
        <f t="shared" si="46"/>
        <v>blank</v>
      </c>
      <c r="AP129" s="260" t="str">
        <f t="shared" si="47"/>
        <v>blank</v>
      </c>
      <c r="AQ129" s="548" t="str">
        <f t="shared" si="28"/>
        <v/>
      </c>
      <c r="AR129" s="260" t="str">
        <f t="shared" si="29"/>
        <v/>
      </c>
      <c r="AS129" s="260" t="str">
        <f t="shared" si="30"/>
        <v/>
      </c>
    </row>
    <row r="130" spans="41:45" hidden="1">
      <c r="AO130" s="612" t="str">
        <f t="shared" si="46"/>
        <v>blank</v>
      </c>
      <c r="AP130" s="260" t="str">
        <f t="shared" si="47"/>
        <v>blank</v>
      </c>
      <c r="AQ130" s="548" t="str">
        <f t="shared" si="28"/>
        <v/>
      </c>
      <c r="AR130" s="260" t="str">
        <f t="shared" si="29"/>
        <v/>
      </c>
      <c r="AS130" s="260" t="str">
        <f t="shared" si="30"/>
        <v/>
      </c>
    </row>
    <row r="131" spans="41:45" hidden="1">
      <c r="AO131" s="612" t="str">
        <f t="shared" si="46"/>
        <v>blank</v>
      </c>
      <c r="AP131" s="260" t="str">
        <f t="shared" si="47"/>
        <v>blank</v>
      </c>
      <c r="AQ131" s="548" t="str">
        <f t="shared" ref="AQ131:AQ194" si="48">IFERROR(IF(AND(AO131="Yes", AP131&lt;&gt;"blank"), "有定金+客戶送貨期", IF(AND(AO131="Yes", AP131="blank"), "有定金+无客戶送貨期", IF(AND(OR(AO131="No", ISBLANK(AO131), AO131="NA"), AP131&lt;&gt;"blank"), "无定金+有客戶送貨期", IF(AND(OR(AO131="No", ISBLANK(AO131), AO131="NA"), AP131="blank"), "无定金+无客戶送貨期", "")))), "")</f>
        <v/>
      </c>
      <c r="AR131" s="260" t="str">
        <f t="shared" ref="AR131:AR194" si="49">IFERROR(IF(B131="已经到货", "Instock", IF(B131="有交期", "Incoming_Stock_With_YAMAHA_Schedule", IF(B131="TBA.", "Incoming_Stock_No_YAMAHA_Schedule", IF(B131="已发货", "Shipped_Stock", "")))), "")</f>
        <v/>
      </c>
      <c r="AS131" s="260" t="str">
        <f t="shared" ref="AS131:AS194" si="50">IF(AND(B131="有交期", L131&lt;&gt;""), L131, "")</f>
        <v/>
      </c>
    </row>
    <row r="132" spans="41:45" hidden="1">
      <c r="AO132" s="612" t="str">
        <f t="shared" si="46"/>
        <v>blank</v>
      </c>
      <c r="AP132" s="260" t="str">
        <f t="shared" si="47"/>
        <v>blank</v>
      </c>
      <c r="AQ132" s="548" t="str">
        <f t="shared" si="48"/>
        <v/>
      </c>
      <c r="AR132" s="260" t="str">
        <f t="shared" si="49"/>
        <v/>
      </c>
      <c r="AS132" s="260" t="str">
        <f t="shared" si="50"/>
        <v/>
      </c>
    </row>
    <row r="133" spans="41:45" hidden="1">
      <c r="AO133" s="612" t="str">
        <f t="shared" si="46"/>
        <v>blank</v>
      </c>
      <c r="AP133" s="260" t="str">
        <f t="shared" si="47"/>
        <v>blank</v>
      </c>
      <c r="AQ133" s="548" t="str">
        <f t="shared" si="48"/>
        <v/>
      </c>
      <c r="AR133" s="260" t="str">
        <f t="shared" si="49"/>
        <v/>
      </c>
      <c r="AS133" s="260" t="str">
        <f t="shared" si="50"/>
        <v/>
      </c>
    </row>
    <row r="134" spans="41:45" hidden="1">
      <c r="AO134" s="612" t="str">
        <f t="shared" si="46"/>
        <v>blank</v>
      </c>
      <c r="AP134" s="260" t="str">
        <f t="shared" si="47"/>
        <v>blank</v>
      </c>
      <c r="AQ134" s="548" t="str">
        <f t="shared" si="48"/>
        <v/>
      </c>
      <c r="AR134" s="260" t="str">
        <f t="shared" si="49"/>
        <v/>
      </c>
      <c r="AS134" s="260" t="str">
        <f t="shared" si="50"/>
        <v/>
      </c>
    </row>
    <row r="135" spans="41:45" hidden="1">
      <c r="AO135" s="612" t="str">
        <f t="shared" si="46"/>
        <v>blank</v>
      </c>
      <c r="AP135" s="260" t="str">
        <f t="shared" si="47"/>
        <v>blank</v>
      </c>
      <c r="AQ135" s="548" t="str">
        <f t="shared" si="48"/>
        <v/>
      </c>
      <c r="AR135" s="260" t="str">
        <f t="shared" si="49"/>
        <v/>
      </c>
      <c r="AS135" s="260" t="str">
        <f t="shared" si="50"/>
        <v/>
      </c>
    </row>
    <row r="136" spans="41:45" hidden="1">
      <c r="AO136" s="612" t="str">
        <f t="shared" si="46"/>
        <v>blank</v>
      </c>
      <c r="AP136" s="260" t="str">
        <f t="shared" si="47"/>
        <v>blank</v>
      </c>
      <c r="AQ136" s="548" t="str">
        <f t="shared" si="48"/>
        <v/>
      </c>
      <c r="AR136" s="260" t="str">
        <f t="shared" si="49"/>
        <v/>
      </c>
      <c r="AS136" s="260" t="str">
        <f t="shared" si="50"/>
        <v/>
      </c>
    </row>
    <row r="137" spans="41:45" hidden="1">
      <c r="AO137" s="612" t="str">
        <f t="shared" si="46"/>
        <v>blank</v>
      </c>
      <c r="AP137" s="260" t="str">
        <f t="shared" si="47"/>
        <v>blank</v>
      </c>
      <c r="AQ137" s="548" t="str">
        <f t="shared" si="48"/>
        <v/>
      </c>
      <c r="AR137" s="260" t="str">
        <f t="shared" si="49"/>
        <v/>
      </c>
      <c r="AS137" s="260" t="str">
        <f t="shared" si="50"/>
        <v/>
      </c>
    </row>
    <row r="138" spans="41:45" hidden="1">
      <c r="AO138" s="612" t="str">
        <f t="shared" si="46"/>
        <v>blank</v>
      </c>
      <c r="AP138" s="260" t="str">
        <f t="shared" si="47"/>
        <v>blank</v>
      </c>
      <c r="AQ138" s="548" t="str">
        <f t="shared" si="48"/>
        <v/>
      </c>
      <c r="AR138" s="260" t="str">
        <f t="shared" si="49"/>
        <v/>
      </c>
      <c r="AS138" s="260" t="str">
        <f t="shared" si="50"/>
        <v/>
      </c>
    </row>
    <row r="139" spans="41:45" hidden="1">
      <c r="AO139" s="612" t="str">
        <f t="shared" si="46"/>
        <v>blank</v>
      </c>
      <c r="AP139" s="260" t="str">
        <f t="shared" si="47"/>
        <v>blank</v>
      </c>
      <c r="AQ139" s="548" t="str">
        <f t="shared" si="48"/>
        <v/>
      </c>
      <c r="AR139" s="260" t="str">
        <f t="shared" si="49"/>
        <v/>
      </c>
      <c r="AS139" s="260" t="str">
        <f t="shared" si="50"/>
        <v/>
      </c>
    </row>
    <row r="140" spans="41:45" hidden="1">
      <c r="AO140" s="612" t="str">
        <f t="shared" si="46"/>
        <v>blank</v>
      </c>
      <c r="AP140" s="260" t="str">
        <f t="shared" si="47"/>
        <v>blank</v>
      </c>
      <c r="AQ140" s="548" t="str">
        <f t="shared" si="48"/>
        <v/>
      </c>
      <c r="AR140" s="260" t="str">
        <f t="shared" si="49"/>
        <v/>
      </c>
      <c r="AS140" s="260" t="str">
        <f t="shared" si="50"/>
        <v/>
      </c>
    </row>
    <row r="141" spans="41:45" hidden="1">
      <c r="AO141" s="612" t="str">
        <f t="shared" si="46"/>
        <v>blank</v>
      </c>
      <c r="AP141" s="260" t="str">
        <f t="shared" si="47"/>
        <v>blank</v>
      </c>
      <c r="AQ141" s="548" t="str">
        <f t="shared" si="48"/>
        <v/>
      </c>
      <c r="AR141" s="260" t="str">
        <f t="shared" si="49"/>
        <v/>
      </c>
      <c r="AS141" s="260" t="str">
        <f t="shared" si="50"/>
        <v/>
      </c>
    </row>
    <row r="142" spans="41:45" hidden="1">
      <c r="AO142" s="612" t="str">
        <f t="shared" si="46"/>
        <v>blank</v>
      </c>
      <c r="AP142" s="260" t="str">
        <f t="shared" si="47"/>
        <v>blank</v>
      </c>
      <c r="AQ142" s="548" t="str">
        <f t="shared" si="48"/>
        <v/>
      </c>
      <c r="AR142" s="260" t="str">
        <f t="shared" si="49"/>
        <v/>
      </c>
      <c r="AS142" s="260" t="str">
        <f t="shared" si="50"/>
        <v/>
      </c>
    </row>
    <row r="143" spans="41:45" hidden="1">
      <c r="AO143" s="612" t="str">
        <f t="shared" si="46"/>
        <v>blank</v>
      </c>
      <c r="AP143" s="260" t="str">
        <f t="shared" si="47"/>
        <v>blank</v>
      </c>
      <c r="AQ143" s="548" t="str">
        <f t="shared" si="48"/>
        <v/>
      </c>
      <c r="AR143" s="260" t="str">
        <f t="shared" si="49"/>
        <v/>
      </c>
      <c r="AS143" s="260" t="str">
        <f t="shared" si="50"/>
        <v/>
      </c>
    </row>
    <row r="144" spans="41:45" hidden="1">
      <c r="AO144" s="612" t="str">
        <f t="shared" si="46"/>
        <v>blank</v>
      </c>
      <c r="AP144" s="260" t="str">
        <f t="shared" si="47"/>
        <v>blank</v>
      </c>
      <c r="AQ144" s="548" t="str">
        <f t="shared" si="48"/>
        <v/>
      </c>
      <c r="AR144" s="260" t="str">
        <f t="shared" si="49"/>
        <v/>
      </c>
      <c r="AS144" s="260" t="str">
        <f t="shared" si="50"/>
        <v/>
      </c>
    </row>
    <row r="145" spans="41:45" hidden="1">
      <c r="AO145" s="612" t="str">
        <f t="shared" si="46"/>
        <v>blank</v>
      </c>
      <c r="AP145" s="260" t="str">
        <f t="shared" si="47"/>
        <v>blank</v>
      </c>
      <c r="AQ145" s="548" t="str">
        <f t="shared" si="48"/>
        <v/>
      </c>
      <c r="AR145" s="260" t="str">
        <f t="shared" si="49"/>
        <v/>
      </c>
      <c r="AS145" s="260" t="str">
        <f t="shared" si="50"/>
        <v/>
      </c>
    </row>
    <row r="146" spans="41:45" hidden="1">
      <c r="AO146" s="612" t="str">
        <f t="shared" si="46"/>
        <v>blank</v>
      </c>
      <c r="AP146" s="260" t="str">
        <f t="shared" si="47"/>
        <v>blank</v>
      </c>
      <c r="AQ146" s="548" t="str">
        <f t="shared" si="48"/>
        <v/>
      </c>
      <c r="AR146" s="260" t="str">
        <f t="shared" si="49"/>
        <v/>
      </c>
      <c r="AS146" s="260" t="str">
        <f t="shared" si="50"/>
        <v/>
      </c>
    </row>
    <row r="147" spans="41:45" hidden="1">
      <c r="AO147" s="612" t="str">
        <f t="shared" si="46"/>
        <v>blank</v>
      </c>
      <c r="AP147" s="260" t="str">
        <f t="shared" si="47"/>
        <v>blank</v>
      </c>
      <c r="AQ147" s="548" t="str">
        <f t="shared" si="48"/>
        <v/>
      </c>
      <c r="AR147" s="260" t="str">
        <f t="shared" si="49"/>
        <v/>
      </c>
      <c r="AS147" s="260" t="str">
        <f t="shared" si="50"/>
        <v/>
      </c>
    </row>
    <row r="148" spans="41:45" hidden="1">
      <c r="AO148" s="612" t="str">
        <f t="shared" si="46"/>
        <v>blank</v>
      </c>
      <c r="AP148" s="260" t="str">
        <f t="shared" si="47"/>
        <v>blank</v>
      </c>
      <c r="AQ148" s="548" t="str">
        <f t="shared" si="48"/>
        <v/>
      </c>
      <c r="AR148" s="260" t="str">
        <f t="shared" si="49"/>
        <v/>
      </c>
      <c r="AS148" s="260" t="str">
        <f t="shared" si="50"/>
        <v/>
      </c>
    </row>
    <row r="149" spans="41:45" hidden="1">
      <c r="AO149" s="612" t="str">
        <f t="shared" si="46"/>
        <v>blank</v>
      </c>
      <c r="AP149" s="260" t="str">
        <f t="shared" si="47"/>
        <v>blank</v>
      </c>
      <c r="AQ149" s="548" t="str">
        <f t="shared" si="48"/>
        <v/>
      </c>
      <c r="AR149" s="260" t="str">
        <f t="shared" si="49"/>
        <v/>
      </c>
      <c r="AS149" s="260" t="str">
        <f t="shared" si="50"/>
        <v/>
      </c>
    </row>
    <row r="150" spans="41:45" hidden="1">
      <c r="AO150" s="612" t="str">
        <f t="shared" ref="AO150:AO213" si="51">IFERROR(IF(Y150&lt;&gt;"",Y150,"blank"),"NA")</f>
        <v>blank</v>
      </c>
      <c r="AP150" s="260" t="str">
        <f t="shared" ref="AP150:AP213" si="52">IFERROR(IF(N150&lt;&gt;"",N150,"blank"),"NA")</f>
        <v>blank</v>
      </c>
      <c r="AQ150" s="548" t="str">
        <f t="shared" si="48"/>
        <v/>
      </c>
      <c r="AR150" s="260" t="str">
        <f t="shared" si="49"/>
        <v/>
      </c>
      <c r="AS150" s="260" t="str">
        <f t="shared" si="50"/>
        <v/>
      </c>
    </row>
    <row r="151" spans="41:45" hidden="1">
      <c r="AO151" s="612" t="str">
        <f t="shared" si="51"/>
        <v>blank</v>
      </c>
      <c r="AP151" s="260" t="str">
        <f t="shared" si="52"/>
        <v>blank</v>
      </c>
      <c r="AQ151" s="548" t="str">
        <f t="shared" si="48"/>
        <v/>
      </c>
      <c r="AR151" s="260" t="str">
        <f t="shared" si="49"/>
        <v/>
      </c>
      <c r="AS151" s="260" t="str">
        <f t="shared" si="50"/>
        <v/>
      </c>
    </row>
    <row r="152" spans="41:45" hidden="1">
      <c r="AO152" s="612" t="str">
        <f t="shared" si="51"/>
        <v>blank</v>
      </c>
      <c r="AP152" s="260" t="str">
        <f t="shared" si="52"/>
        <v>blank</v>
      </c>
      <c r="AQ152" s="548" t="str">
        <f t="shared" si="48"/>
        <v/>
      </c>
      <c r="AR152" s="260" t="str">
        <f t="shared" si="49"/>
        <v/>
      </c>
      <c r="AS152" s="260" t="str">
        <f t="shared" si="50"/>
        <v/>
      </c>
    </row>
    <row r="153" spans="41:45" hidden="1">
      <c r="AO153" s="612" t="str">
        <f t="shared" si="51"/>
        <v>blank</v>
      </c>
      <c r="AP153" s="260" t="str">
        <f t="shared" si="52"/>
        <v>blank</v>
      </c>
      <c r="AQ153" s="548" t="str">
        <f t="shared" si="48"/>
        <v/>
      </c>
      <c r="AR153" s="260" t="str">
        <f t="shared" si="49"/>
        <v/>
      </c>
      <c r="AS153" s="260" t="str">
        <f t="shared" si="50"/>
        <v/>
      </c>
    </row>
    <row r="154" spans="41:45" hidden="1">
      <c r="AO154" s="612" t="str">
        <f t="shared" si="51"/>
        <v>blank</v>
      </c>
      <c r="AP154" s="260" t="str">
        <f t="shared" si="52"/>
        <v>blank</v>
      </c>
      <c r="AQ154" s="548" t="str">
        <f t="shared" si="48"/>
        <v/>
      </c>
      <c r="AR154" s="260" t="str">
        <f t="shared" si="49"/>
        <v/>
      </c>
      <c r="AS154" s="260" t="str">
        <f t="shared" si="50"/>
        <v/>
      </c>
    </row>
    <row r="155" spans="41:45" hidden="1">
      <c r="AO155" s="612" t="str">
        <f t="shared" si="51"/>
        <v>blank</v>
      </c>
      <c r="AP155" s="260" t="str">
        <f t="shared" si="52"/>
        <v>blank</v>
      </c>
      <c r="AQ155" s="548" t="str">
        <f t="shared" si="48"/>
        <v/>
      </c>
      <c r="AR155" s="260" t="str">
        <f t="shared" si="49"/>
        <v/>
      </c>
      <c r="AS155" s="260" t="str">
        <f t="shared" si="50"/>
        <v/>
      </c>
    </row>
    <row r="156" spans="41:45" hidden="1">
      <c r="AO156" s="612" t="str">
        <f t="shared" si="51"/>
        <v>blank</v>
      </c>
      <c r="AP156" s="260" t="str">
        <f t="shared" si="52"/>
        <v>blank</v>
      </c>
      <c r="AQ156" s="548" t="str">
        <f t="shared" si="48"/>
        <v/>
      </c>
      <c r="AR156" s="260" t="str">
        <f t="shared" si="49"/>
        <v/>
      </c>
      <c r="AS156" s="260" t="str">
        <f t="shared" si="50"/>
        <v/>
      </c>
    </row>
    <row r="157" spans="41:45" hidden="1">
      <c r="AO157" s="612" t="str">
        <f t="shared" si="51"/>
        <v>blank</v>
      </c>
      <c r="AP157" s="260" t="str">
        <f t="shared" si="52"/>
        <v>blank</v>
      </c>
      <c r="AQ157" s="548" t="str">
        <f t="shared" si="48"/>
        <v/>
      </c>
      <c r="AR157" s="260" t="str">
        <f t="shared" si="49"/>
        <v/>
      </c>
      <c r="AS157" s="260" t="str">
        <f t="shared" si="50"/>
        <v/>
      </c>
    </row>
    <row r="158" spans="41:45" hidden="1">
      <c r="AO158" s="612" t="str">
        <f t="shared" si="51"/>
        <v>blank</v>
      </c>
      <c r="AP158" s="260" t="str">
        <f t="shared" si="52"/>
        <v>blank</v>
      </c>
      <c r="AQ158" s="548" t="str">
        <f t="shared" si="48"/>
        <v/>
      </c>
      <c r="AR158" s="260" t="str">
        <f t="shared" si="49"/>
        <v/>
      </c>
      <c r="AS158" s="260" t="str">
        <f t="shared" si="50"/>
        <v/>
      </c>
    </row>
    <row r="159" spans="41:45" hidden="1">
      <c r="AO159" s="612" t="str">
        <f t="shared" si="51"/>
        <v>blank</v>
      </c>
      <c r="AP159" s="260" t="str">
        <f t="shared" si="52"/>
        <v>blank</v>
      </c>
      <c r="AQ159" s="548" t="str">
        <f t="shared" si="48"/>
        <v/>
      </c>
      <c r="AR159" s="260" t="str">
        <f t="shared" si="49"/>
        <v/>
      </c>
      <c r="AS159" s="260" t="str">
        <f t="shared" si="50"/>
        <v/>
      </c>
    </row>
    <row r="160" spans="41:45" hidden="1">
      <c r="AO160" s="612" t="str">
        <f t="shared" si="51"/>
        <v>blank</v>
      </c>
      <c r="AP160" s="260" t="str">
        <f t="shared" si="52"/>
        <v>blank</v>
      </c>
      <c r="AQ160" s="548" t="str">
        <f t="shared" si="48"/>
        <v/>
      </c>
      <c r="AR160" s="260" t="str">
        <f t="shared" si="49"/>
        <v/>
      </c>
      <c r="AS160" s="260" t="str">
        <f t="shared" si="50"/>
        <v/>
      </c>
    </row>
    <row r="161" spans="41:45" hidden="1">
      <c r="AO161" s="612" t="str">
        <f t="shared" si="51"/>
        <v>blank</v>
      </c>
      <c r="AP161" s="260" t="str">
        <f t="shared" si="52"/>
        <v>blank</v>
      </c>
      <c r="AQ161" s="548" t="str">
        <f t="shared" si="48"/>
        <v/>
      </c>
      <c r="AR161" s="260" t="str">
        <f t="shared" si="49"/>
        <v/>
      </c>
      <c r="AS161" s="260" t="str">
        <f t="shared" si="50"/>
        <v/>
      </c>
    </row>
    <row r="162" spans="41:45" hidden="1">
      <c r="AO162" s="612" t="str">
        <f t="shared" si="51"/>
        <v>blank</v>
      </c>
      <c r="AP162" s="260" t="str">
        <f t="shared" si="52"/>
        <v>blank</v>
      </c>
      <c r="AQ162" s="548" t="str">
        <f t="shared" si="48"/>
        <v/>
      </c>
      <c r="AR162" s="260" t="str">
        <f t="shared" si="49"/>
        <v/>
      </c>
      <c r="AS162" s="260" t="str">
        <f t="shared" si="50"/>
        <v/>
      </c>
    </row>
    <row r="163" spans="41:45" hidden="1">
      <c r="AO163" s="612" t="str">
        <f t="shared" si="51"/>
        <v>blank</v>
      </c>
      <c r="AP163" s="260" t="str">
        <f t="shared" si="52"/>
        <v>blank</v>
      </c>
      <c r="AQ163" s="548" t="str">
        <f t="shared" si="48"/>
        <v/>
      </c>
      <c r="AR163" s="260" t="str">
        <f t="shared" si="49"/>
        <v/>
      </c>
      <c r="AS163" s="260" t="str">
        <f t="shared" si="50"/>
        <v/>
      </c>
    </row>
    <row r="164" spans="41:45" hidden="1">
      <c r="AO164" s="612" t="str">
        <f t="shared" si="51"/>
        <v>blank</v>
      </c>
      <c r="AP164" s="260" t="str">
        <f t="shared" si="52"/>
        <v>blank</v>
      </c>
      <c r="AQ164" s="548" t="str">
        <f t="shared" si="48"/>
        <v/>
      </c>
      <c r="AR164" s="260" t="str">
        <f t="shared" si="49"/>
        <v/>
      </c>
      <c r="AS164" s="260" t="str">
        <f t="shared" si="50"/>
        <v/>
      </c>
    </row>
    <row r="165" spans="41:45" hidden="1">
      <c r="AO165" s="612" t="str">
        <f t="shared" si="51"/>
        <v>blank</v>
      </c>
      <c r="AP165" s="260" t="str">
        <f t="shared" si="52"/>
        <v>blank</v>
      </c>
      <c r="AQ165" s="548" t="str">
        <f t="shared" si="48"/>
        <v/>
      </c>
      <c r="AR165" s="260" t="str">
        <f t="shared" si="49"/>
        <v/>
      </c>
      <c r="AS165" s="260" t="str">
        <f t="shared" si="50"/>
        <v/>
      </c>
    </row>
    <row r="166" spans="41:45" hidden="1">
      <c r="AO166" s="612" t="str">
        <f t="shared" si="51"/>
        <v>blank</v>
      </c>
      <c r="AP166" s="260" t="str">
        <f t="shared" si="52"/>
        <v>blank</v>
      </c>
      <c r="AQ166" s="548" t="str">
        <f t="shared" si="48"/>
        <v/>
      </c>
      <c r="AR166" s="260" t="str">
        <f t="shared" si="49"/>
        <v/>
      </c>
      <c r="AS166" s="260" t="str">
        <f t="shared" si="50"/>
        <v/>
      </c>
    </row>
    <row r="167" spans="41:45" hidden="1">
      <c r="AO167" s="612" t="str">
        <f t="shared" si="51"/>
        <v>blank</v>
      </c>
      <c r="AP167" s="260" t="str">
        <f t="shared" si="52"/>
        <v>blank</v>
      </c>
      <c r="AQ167" s="548" t="str">
        <f t="shared" si="48"/>
        <v/>
      </c>
      <c r="AR167" s="260" t="str">
        <f t="shared" si="49"/>
        <v/>
      </c>
      <c r="AS167" s="260" t="str">
        <f t="shared" si="50"/>
        <v/>
      </c>
    </row>
    <row r="168" spans="41:45" hidden="1">
      <c r="AO168" s="612" t="str">
        <f t="shared" si="51"/>
        <v>blank</v>
      </c>
      <c r="AP168" s="260" t="str">
        <f t="shared" si="52"/>
        <v>blank</v>
      </c>
      <c r="AQ168" s="548" t="str">
        <f t="shared" si="48"/>
        <v/>
      </c>
      <c r="AR168" s="260" t="str">
        <f t="shared" si="49"/>
        <v/>
      </c>
      <c r="AS168" s="260" t="str">
        <f t="shared" si="50"/>
        <v/>
      </c>
    </row>
    <row r="169" spans="41:45" hidden="1">
      <c r="AO169" s="612" t="str">
        <f t="shared" si="51"/>
        <v>blank</v>
      </c>
      <c r="AP169" s="260" t="str">
        <f t="shared" si="52"/>
        <v>blank</v>
      </c>
      <c r="AQ169" s="548" t="str">
        <f t="shared" si="48"/>
        <v/>
      </c>
      <c r="AR169" s="260" t="str">
        <f t="shared" si="49"/>
        <v/>
      </c>
      <c r="AS169" s="260" t="str">
        <f t="shared" si="50"/>
        <v/>
      </c>
    </row>
    <row r="170" spans="41:45" hidden="1">
      <c r="AO170" s="612" t="str">
        <f t="shared" si="51"/>
        <v>blank</v>
      </c>
      <c r="AP170" s="260" t="str">
        <f t="shared" si="52"/>
        <v>blank</v>
      </c>
      <c r="AQ170" s="548" t="str">
        <f t="shared" si="48"/>
        <v/>
      </c>
      <c r="AR170" s="260" t="str">
        <f t="shared" si="49"/>
        <v/>
      </c>
      <c r="AS170" s="260" t="str">
        <f t="shared" si="50"/>
        <v/>
      </c>
    </row>
    <row r="171" spans="41:45" hidden="1">
      <c r="AO171" s="612" t="str">
        <f t="shared" si="51"/>
        <v>blank</v>
      </c>
      <c r="AP171" s="260" t="str">
        <f t="shared" si="52"/>
        <v>blank</v>
      </c>
      <c r="AQ171" s="548" t="str">
        <f t="shared" si="48"/>
        <v/>
      </c>
      <c r="AR171" s="260" t="str">
        <f t="shared" si="49"/>
        <v/>
      </c>
      <c r="AS171" s="260" t="str">
        <f t="shared" si="50"/>
        <v/>
      </c>
    </row>
    <row r="172" spans="41:45" hidden="1">
      <c r="AO172" s="612" t="str">
        <f t="shared" si="51"/>
        <v>blank</v>
      </c>
      <c r="AP172" s="260" t="str">
        <f t="shared" si="52"/>
        <v>blank</v>
      </c>
      <c r="AQ172" s="548" t="str">
        <f t="shared" si="48"/>
        <v/>
      </c>
      <c r="AR172" s="260" t="str">
        <f t="shared" si="49"/>
        <v/>
      </c>
      <c r="AS172" s="260" t="str">
        <f t="shared" si="50"/>
        <v/>
      </c>
    </row>
    <row r="173" spans="41:45" hidden="1">
      <c r="AO173" s="612" t="str">
        <f t="shared" si="51"/>
        <v>blank</v>
      </c>
      <c r="AP173" s="260" t="str">
        <f t="shared" si="52"/>
        <v>blank</v>
      </c>
      <c r="AQ173" s="548" t="str">
        <f t="shared" si="48"/>
        <v/>
      </c>
      <c r="AR173" s="260" t="str">
        <f t="shared" si="49"/>
        <v/>
      </c>
      <c r="AS173" s="260" t="str">
        <f t="shared" si="50"/>
        <v/>
      </c>
    </row>
    <row r="174" spans="41:45" hidden="1">
      <c r="AO174" s="612" t="str">
        <f t="shared" si="51"/>
        <v>blank</v>
      </c>
      <c r="AP174" s="260" t="str">
        <f t="shared" si="52"/>
        <v>blank</v>
      </c>
      <c r="AQ174" s="548" t="str">
        <f t="shared" si="48"/>
        <v/>
      </c>
      <c r="AR174" s="260" t="str">
        <f t="shared" si="49"/>
        <v/>
      </c>
      <c r="AS174" s="260" t="str">
        <f t="shared" si="50"/>
        <v/>
      </c>
    </row>
    <row r="175" spans="41:45" hidden="1">
      <c r="AO175" s="612" t="str">
        <f t="shared" si="51"/>
        <v>blank</v>
      </c>
      <c r="AP175" s="260" t="str">
        <f t="shared" si="52"/>
        <v>blank</v>
      </c>
      <c r="AQ175" s="548" t="str">
        <f t="shared" si="48"/>
        <v/>
      </c>
      <c r="AR175" s="260" t="str">
        <f t="shared" si="49"/>
        <v/>
      </c>
      <c r="AS175" s="260" t="str">
        <f t="shared" si="50"/>
        <v/>
      </c>
    </row>
    <row r="176" spans="41:45" hidden="1">
      <c r="AO176" s="612" t="str">
        <f t="shared" si="51"/>
        <v>blank</v>
      </c>
      <c r="AP176" s="260" t="str">
        <f t="shared" si="52"/>
        <v>blank</v>
      </c>
      <c r="AQ176" s="548" t="str">
        <f t="shared" si="48"/>
        <v/>
      </c>
      <c r="AR176" s="260" t="str">
        <f t="shared" si="49"/>
        <v/>
      </c>
      <c r="AS176" s="260" t="str">
        <f t="shared" si="50"/>
        <v/>
      </c>
    </row>
    <row r="177" spans="41:45" hidden="1">
      <c r="AO177" s="612" t="str">
        <f t="shared" si="51"/>
        <v>blank</v>
      </c>
      <c r="AP177" s="260" t="str">
        <f t="shared" si="52"/>
        <v>blank</v>
      </c>
      <c r="AQ177" s="548" t="str">
        <f t="shared" si="48"/>
        <v/>
      </c>
      <c r="AR177" s="260" t="str">
        <f t="shared" si="49"/>
        <v/>
      </c>
      <c r="AS177" s="260" t="str">
        <f t="shared" si="50"/>
        <v/>
      </c>
    </row>
    <row r="178" spans="41:45" hidden="1">
      <c r="AO178" s="612" t="str">
        <f t="shared" si="51"/>
        <v>blank</v>
      </c>
      <c r="AP178" s="260" t="str">
        <f t="shared" si="52"/>
        <v>blank</v>
      </c>
      <c r="AQ178" s="548" t="str">
        <f t="shared" si="48"/>
        <v/>
      </c>
      <c r="AR178" s="260" t="str">
        <f t="shared" si="49"/>
        <v/>
      </c>
      <c r="AS178" s="260" t="str">
        <f t="shared" si="50"/>
        <v/>
      </c>
    </row>
    <row r="179" spans="41:45" hidden="1">
      <c r="AO179" s="612" t="str">
        <f t="shared" si="51"/>
        <v>blank</v>
      </c>
      <c r="AP179" s="260" t="str">
        <f t="shared" si="52"/>
        <v>blank</v>
      </c>
      <c r="AQ179" s="548" t="str">
        <f t="shared" si="48"/>
        <v/>
      </c>
      <c r="AR179" s="260" t="str">
        <f t="shared" si="49"/>
        <v/>
      </c>
      <c r="AS179" s="260" t="str">
        <f t="shared" si="50"/>
        <v/>
      </c>
    </row>
    <row r="180" spans="41:45" hidden="1">
      <c r="AO180" s="612" t="str">
        <f t="shared" si="51"/>
        <v>blank</v>
      </c>
      <c r="AP180" s="260" t="str">
        <f t="shared" si="52"/>
        <v>blank</v>
      </c>
      <c r="AQ180" s="548" t="str">
        <f t="shared" si="48"/>
        <v/>
      </c>
      <c r="AR180" s="260" t="str">
        <f t="shared" si="49"/>
        <v/>
      </c>
      <c r="AS180" s="260" t="str">
        <f t="shared" si="50"/>
        <v/>
      </c>
    </row>
    <row r="181" spans="41:45" hidden="1">
      <c r="AO181" s="612" t="str">
        <f t="shared" si="51"/>
        <v>blank</v>
      </c>
      <c r="AP181" s="260" t="str">
        <f t="shared" si="52"/>
        <v>blank</v>
      </c>
      <c r="AQ181" s="548" t="str">
        <f t="shared" si="48"/>
        <v/>
      </c>
      <c r="AR181" s="260" t="str">
        <f t="shared" si="49"/>
        <v/>
      </c>
      <c r="AS181" s="260" t="str">
        <f t="shared" si="50"/>
        <v/>
      </c>
    </row>
    <row r="182" spans="41:45" hidden="1">
      <c r="AO182" s="612" t="str">
        <f t="shared" si="51"/>
        <v>blank</v>
      </c>
      <c r="AP182" s="260" t="str">
        <f t="shared" si="52"/>
        <v>blank</v>
      </c>
      <c r="AQ182" s="548" t="str">
        <f t="shared" si="48"/>
        <v/>
      </c>
      <c r="AR182" s="260" t="str">
        <f t="shared" si="49"/>
        <v/>
      </c>
      <c r="AS182" s="260" t="str">
        <f t="shared" si="50"/>
        <v/>
      </c>
    </row>
    <row r="183" spans="41:45" hidden="1">
      <c r="AO183" s="612" t="str">
        <f t="shared" si="51"/>
        <v>blank</v>
      </c>
      <c r="AP183" s="260" t="str">
        <f t="shared" si="52"/>
        <v>blank</v>
      </c>
      <c r="AQ183" s="548" t="str">
        <f t="shared" si="48"/>
        <v/>
      </c>
      <c r="AR183" s="260" t="str">
        <f t="shared" si="49"/>
        <v/>
      </c>
      <c r="AS183" s="260" t="str">
        <f t="shared" si="50"/>
        <v/>
      </c>
    </row>
    <row r="184" spans="41:45" hidden="1">
      <c r="AO184" s="612" t="str">
        <f t="shared" si="51"/>
        <v>blank</v>
      </c>
      <c r="AP184" s="260" t="str">
        <f t="shared" si="52"/>
        <v>blank</v>
      </c>
      <c r="AQ184" s="548" t="str">
        <f t="shared" si="48"/>
        <v/>
      </c>
      <c r="AR184" s="260" t="str">
        <f t="shared" si="49"/>
        <v/>
      </c>
      <c r="AS184" s="260" t="str">
        <f t="shared" si="50"/>
        <v/>
      </c>
    </row>
    <row r="185" spans="41:45" hidden="1">
      <c r="AO185" s="612" t="str">
        <f t="shared" si="51"/>
        <v>blank</v>
      </c>
      <c r="AP185" s="260" t="str">
        <f t="shared" si="52"/>
        <v>blank</v>
      </c>
      <c r="AQ185" s="548" t="str">
        <f t="shared" si="48"/>
        <v/>
      </c>
      <c r="AR185" s="260" t="str">
        <f t="shared" si="49"/>
        <v/>
      </c>
      <c r="AS185" s="260" t="str">
        <f t="shared" si="50"/>
        <v/>
      </c>
    </row>
    <row r="186" spans="41:45" hidden="1">
      <c r="AO186" s="612" t="str">
        <f t="shared" si="51"/>
        <v>blank</v>
      </c>
      <c r="AP186" s="260" t="str">
        <f t="shared" si="52"/>
        <v>blank</v>
      </c>
      <c r="AQ186" s="548" t="str">
        <f t="shared" si="48"/>
        <v/>
      </c>
      <c r="AR186" s="260" t="str">
        <f t="shared" si="49"/>
        <v/>
      </c>
      <c r="AS186" s="260" t="str">
        <f t="shared" si="50"/>
        <v/>
      </c>
    </row>
    <row r="187" spans="41:45" hidden="1">
      <c r="AO187" s="612" t="str">
        <f t="shared" si="51"/>
        <v>blank</v>
      </c>
      <c r="AP187" s="260" t="str">
        <f t="shared" si="52"/>
        <v>blank</v>
      </c>
      <c r="AQ187" s="548" t="str">
        <f t="shared" si="48"/>
        <v/>
      </c>
      <c r="AR187" s="260" t="str">
        <f t="shared" si="49"/>
        <v/>
      </c>
      <c r="AS187" s="260" t="str">
        <f t="shared" si="50"/>
        <v/>
      </c>
    </row>
    <row r="188" spans="41:45" hidden="1">
      <c r="AO188" s="612" t="str">
        <f t="shared" si="51"/>
        <v>blank</v>
      </c>
      <c r="AP188" s="260" t="str">
        <f t="shared" si="52"/>
        <v>blank</v>
      </c>
      <c r="AQ188" s="548" t="str">
        <f t="shared" si="48"/>
        <v/>
      </c>
      <c r="AR188" s="260" t="str">
        <f t="shared" si="49"/>
        <v/>
      </c>
      <c r="AS188" s="260" t="str">
        <f t="shared" si="50"/>
        <v/>
      </c>
    </row>
    <row r="189" spans="41:45" hidden="1">
      <c r="AO189" s="612" t="str">
        <f t="shared" si="51"/>
        <v>blank</v>
      </c>
      <c r="AP189" s="260" t="str">
        <f t="shared" si="52"/>
        <v>blank</v>
      </c>
      <c r="AQ189" s="548" t="str">
        <f t="shared" si="48"/>
        <v/>
      </c>
      <c r="AR189" s="260" t="str">
        <f t="shared" si="49"/>
        <v/>
      </c>
      <c r="AS189" s="260" t="str">
        <f t="shared" si="50"/>
        <v/>
      </c>
    </row>
    <row r="190" spans="41:45" hidden="1">
      <c r="AO190" s="612" t="str">
        <f t="shared" si="51"/>
        <v>blank</v>
      </c>
      <c r="AP190" s="260" t="str">
        <f t="shared" si="52"/>
        <v>blank</v>
      </c>
      <c r="AQ190" s="548" t="str">
        <f t="shared" si="48"/>
        <v/>
      </c>
      <c r="AR190" s="260" t="str">
        <f t="shared" si="49"/>
        <v/>
      </c>
      <c r="AS190" s="260" t="str">
        <f t="shared" si="50"/>
        <v/>
      </c>
    </row>
    <row r="191" spans="41:45" hidden="1">
      <c r="AO191" s="612" t="str">
        <f t="shared" si="51"/>
        <v>blank</v>
      </c>
      <c r="AP191" s="260" t="str">
        <f t="shared" si="52"/>
        <v>blank</v>
      </c>
      <c r="AQ191" s="548" t="str">
        <f t="shared" si="48"/>
        <v/>
      </c>
      <c r="AR191" s="260" t="str">
        <f t="shared" si="49"/>
        <v/>
      </c>
      <c r="AS191" s="260" t="str">
        <f t="shared" si="50"/>
        <v/>
      </c>
    </row>
    <row r="192" spans="41:45" hidden="1">
      <c r="AO192" s="612" t="str">
        <f t="shared" si="51"/>
        <v>blank</v>
      </c>
      <c r="AP192" s="260" t="str">
        <f t="shared" si="52"/>
        <v>blank</v>
      </c>
      <c r="AQ192" s="548" t="str">
        <f t="shared" si="48"/>
        <v/>
      </c>
      <c r="AR192" s="260" t="str">
        <f t="shared" si="49"/>
        <v/>
      </c>
      <c r="AS192" s="260" t="str">
        <f t="shared" si="50"/>
        <v/>
      </c>
    </row>
    <row r="193" spans="41:45" hidden="1">
      <c r="AO193" s="612" t="str">
        <f t="shared" si="51"/>
        <v>blank</v>
      </c>
      <c r="AP193" s="260" t="str">
        <f t="shared" si="52"/>
        <v>blank</v>
      </c>
      <c r="AQ193" s="548" t="str">
        <f t="shared" si="48"/>
        <v/>
      </c>
      <c r="AR193" s="260" t="str">
        <f t="shared" si="49"/>
        <v/>
      </c>
      <c r="AS193" s="260" t="str">
        <f t="shared" si="50"/>
        <v/>
      </c>
    </row>
    <row r="194" spans="41:45" hidden="1">
      <c r="AO194" s="612" t="str">
        <f t="shared" si="51"/>
        <v>blank</v>
      </c>
      <c r="AP194" s="260" t="str">
        <f t="shared" si="52"/>
        <v>blank</v>
      </c>
      <c r="AQ194" s="548" t="str">
        <f t="shared" si="48"/>
        <v/>
      </c>
      <c r="AR194" s="260" t="str">
        <f t="shared" si="49"/>
        <v/>
      </c>
      <c r="AS194" s="260" t="str">
        <f t="shared" si="50"/>
        <v/>
      </c>
    </row>
    <row r="195" spans="41:45" hidden="1">
      <c r="AO195" s="612" t="str">
        <f t="shared" si="51"/>
        <v>blank</v>
      </c>
      <c r="AP195" s="260" t="str">
        <f t="shared" si="52"/>
        <v>blank</v>
      </c>
      <c r="AQ195" s="548" t="str">
        <f t="shared" ref="AQ195:AQ258" si="53">IFERROR(IF(AND(AO195="Yes", AP195&lt;&gt;"blank"), "有定金+客戶送貨期", IF(AND(AO195="Yes", AP195="blank"), "有定金+无客戶送貨期", IF(AND(OR(AO195="No", ISBLANK(AO195), AO195="NA"), AP195&lt;&gt;"blank"), "无定金+有客戶送貨期", IF(AND(OR(AO195="No", ISBLANK(AO195), AO195="NA"), AP195="blank"), "无定金+无客戶送貨期", "")))), "")</f>
        <v/>
      </c>
      <c r="AR195" s="260" t="str">
        <f t="shared" ref="AR195:AR258" si="54">IFERROR(IF(B195="已经到货", "Instock", IF(B195="有交期", "Incoming_Stock_With_YAMAHA_Schedule", IF(B195="TBA.", "Incoming_Stock_No_YAMAHA_Schedule", IF(B195="已发货", "Shipped_Stock", "")))), "")</f>
        <v/>
      </c>
      <c r="AS195" s="260" t="str">
        <f t="shared" ref="AS195:AS258" si="55">IF(AND(B195="有交期", L195&lt;&gt;""), L195, "")</f>
        <v/>
      </c>
    </row>
    <row r="196" spans="41:45" hidden="1">
      <c r="AO196" s="612" t="str">
        <f t="shared" si="51"/>
        <v>blank</v>
      </c>
      <c r="AP196" s="260" t="str">
        <f t="shared" si="52"/>
        <v>blank</v>
      </c>
      <c r="AQ196" s="548" t="str">
        <f t="shared" si="53"/>
        <v/>
      </c>
      <c r="AR196" s="260" t="str">
        <f t="shared" si="54"/>
        <v/>
      </c>
      <c r="AS196" s="260" t="str">
        <f t="shared" si="55"/>
        <v/>
      </c>
    </row>
    <row r="197" spans="41:45" hidden="1">
      <c r="AO197" s="612" t="str">
        <f t="shared" si="51"/>
        <v>blank</v>
      </c>
      <c r="AP197" s="260" t="str">
        <f t="shared" si="52"/>
        <v>blank</v>
      </c>
      <c r="AQ197" s="548" t="str">
        <f t="shared" si="53"/>
        <v/>
      </c>
      <c r="AR197" s="260" t="str">
        <f t="shared" si="54"/>
        <v/>
      </c>
      <c r="AS197" s="260" t="str">
        <f t="shared" si="55"/>
        <v/>
      </c>
    </row>
    <row r="198" spans="41:45" hidden="1">
      <c r="AO198" s="612" t="str">
        <f t="shared" si="51"/>
        <v>blank</v>
      </c>
      <c r="AP198" s="260" t="str">
        <f t="shared" si="52"/>
        <v>blank</v>
      </c>
      <c r="AQ198" s="548" t="str">
        <f t="shared" si="53"/>
        <v/>
      </c>
      <c r="AR198" s="260" t="str">
        <f t="shared" si="54"/>
        <v/>
      </c>
      <c r="AS198" s="260" t="str">
        <f t="shared" si="55"/>
        <v/>
      </c>
    </row>
    <row r="199" spans="41:45" hidden="1">
      <c r="AO199" s="612" t="str">
        <f t="shared" si="51"/>
        <v>blank</v>
      </c>
      <c r="AP199" s="260" t="str">
        <f t="shared" si="52"/>
        <v>blank</v>
      </c>
      <c r="AQ199" s="548" t="str">
        <f t="shared" si="53"/>
        <v/>
      </c>
      <c r="AR199" s="260" t="str">
        <f t="shared" si="54"/>
        <v/>
      </c>
      <c r="AS199" s="260" t="str">
        <f t="shared" si="55"/>
        <v/>
      </c>
    </row>
    <row r="200" spans="41:45" hidden="1">
      <c r="AO200" s="612" t="str">
        <f t="shared" si="51"/>
        <v>blank</v>
      </c>
      <c r="AP200" s="260" t="str">
        <f t="shared" si="52"/>
        <v>blank</v>
      </c>
      <c r="AQ200" s="548" t="str">
        <f t="shared" si="53"/>
        <v/>
      </c>
      <c r="AR200" s="260" t="str">
        <f t="shared" si="54"/>
        <v/>
      </c>
      <c r="AS200" s="260" t="str">
        <f t="shared" si="55"/>
        <v/>
      </c>
    </row>
    <row r="201" spans="41:45" hidden="1">
      <c r="AO201" s="612" t="str">
        <f t="shared" si="51"/>
        <v>blank</v>
      </c>
      <c r="AP201" s="260" t="str">
        <f t="shared" si="52"/>
        <v>blank</v>
      </c>
      <c r="AQ201" s="548" t="str">
        <f t="shared" si="53"/>
        <v/>
      </c>
      <c r="AR201" s="260" t="str">
        <f t="shared" si="54"/>
        <v/>
      </c>
      <c r="AS201" s="260" t="str">
        <f t="shared" si="55"/>
        <v/>
      </c>
    </row>
    <row r="202" spans="41:45" hidden="1">
      <c r="AO202" s="612" t="str">
        <f t="shared" si="51"/>
        <v>blank</v>
      </c>
      <c r="AP202" s="260" t="str">
        <f t="shared" si="52"/>
        <v>blank</v>
      </c>
      <c r="AQ202" s="548" t="str">
        <f t="shared" si="53"/>
        <v/>
      </c>
      <c r="AR202" s="260" t="str">
        <f t="shared" si="54"/>
        <v/>
      </c>
      <c r="AS202" s="260" t="str">
        <f t="shared" si="55"/>
        <v/>
      </c>
    </row>
    <row r="203" spans="41:45" hidden="1">
      <c r="AO203" s="612" t="str">
        <f t="shared" si="51"/>
        <v>blank</v>
      </c>
      <c r="AP203" s="260" t="str">
        <f t="shared" si="52"/>
        <v>blank</v>
      </c>
      <c r="AQ203" s="548" t="str">
        <f t="shared" si="53"/>
        <v/>
      </c>
      <c r="AR203" s="260" t="str">
        <f t="shared" si="54"/>
        <v/>
      </c>
      <c r="AS203" s="260" t="str">
        <f t="shared" si="55"/>
        <v/>
      </c>
    </row>
    <row r="204" spans="41:45" hidden="1">
      <c r="AO204" s="612" t="str">
        <f t="shared" si="51"/>
        <v>blank</v>
      </c>
      <c r="AP204" s="260" t="str">
        <f t="shared" si="52"/>
        <v>blank</v>
      </c>
      <c r="AQ204" s="548" t="str">
        <f t="shared" si="53"/>
        <v/>
      </c>
      <c r="AR204" s="260" t="str">
        <f t="shared" si="54"/>
        <v/>
      </c>
      <c r="AS204" s="260" t="str">
        <f t="shared" si="55"/>
        <v/>
      </c>
    </row>
    <row r="205" spans="41:45" hidden="1">
      <c r="AO205" s="612" t="str">
        <f t="shared" si="51"/>
        <v>blank</v>
      </c>
      <c r="AP205" s="260" t="str">
        <f t="shared" si="52"/>
        <v>blank</v>
      </c>
      <c r="AQ205" s="548" t="str">
        <f t="shared" si="53"/>
        <v/>
      </c>
      <c r="AR205" s="260" t="str">
        <f t="shared" si="54"/>
        <v/>
      </c>
      <c r="AS205" s="260" t="str">
        <f t="shared" si="55"/>
        <v/>
      </c>
    </row>
    <row r="206" spans="41:45" hidden="1">
      <c r="AO206" s="612" t="str">
        <f t="shared" si="51"/>
        <v>blank</v>
      </c>
      <c r="AP206" s="260" t="str">
        <f t="shared" si="52"/>
        <v>blank</v>
      </c>
      <c r="AQ206" s="548" t="str">
        <f t="shared" si="53"/>
        <v/>
      </c>
      <c r="AR206" s="260" t="str">
        <f t="shared" si="54"/>
        <v/>
      </c>
      <c r="AS206" s="260" t="str">
        <f t="shared" si="55"/>
        <v/>
      </c>
    </row>
    <row r="207" spans="41:45" hidden="1">
      <c r="AO207" s="612" t="str">
        <f t="shared" si="51"/>
        <v>blank</v>
      </c>
      <c r="AP207" s="260" t="str">
        <f t="shared" si="52"/>
        <v>blank</v>
      </c>
      <c r="AQ207" s="548" t="str">
        <f t="shared" si="53"/>
        <v/>
      </c>
      <c r="AR207" s="260" t="str">
        <f t="shared" si="54"/>
        <v/>
      </c>
      <c r="AS207" s="260" t="str">
        <f t="shared" si="55"/>
        <v/>
      </c>
    </row>
    <row r="208" spans="41:45" hidden="1">
      <c r="AO208" s="612" t="str">
        <f t="shared" si="51"/>
        <v>blank</v>
      </c>
      <c r="AP208" s="260" t="str">
        <f t="shared" si="52"/>
        <v>blank</v>
      </c>
      <c r="AQ208" s="548" t="str">
        <f t="shared" si="53"/>
        <v/>
      </c>
      <c r="AR208" s="260" t="str">
        <f t="shared" si="54"/>
        <v/>
      </c>
      <c r="AS208" s="260" t="str">
        <f t="shared" si="55"/>
        <v/>
      </c>
    </row>
    <row r="209" spans="41:45" hidden="1">
      <c r="AO209" s="612" t="str">
        <f t="shared" si="51"/>
        <v>blank</v>
      </c>
      <c r="AP209" s="260" t="str">
        <f t="shared" si="52"/>
        <v>blank</v>
      </c>
      <c r="AQ209" s="548" t="str">
        <f t="shared" si="53"/>
        <v/>
      </c>
      <c r="AR209" s="260" t="str">
        <f t="shared" si="54"/>
        <v/>
      </c>
      <c r="AS209" s="260" t="str">
        <f t="shared" si="55"/>
        <v/>
      </c>
    </row>
    <row r="210" spans="41:45" hidden="1">
      <c r="AO210" s="612" t="str">
        <f t="shared" si="51"/>
        <v>blank</v>
      </c>
      <c r="AP210" s="260" t="str">
        <f t="shared" si="52"/>
        <v>blank</v>
      </c>
      <c r="AQ210" s="548" t="str">
        <f t="shared" si="53"/>
        <v/>
      </c>
      <c r="AR210" s="260" t="str">
        <f t="shared" si="54"/>
        <v/>
      </c>
      <c r="AS210" s="260" t="str">
        <f t="shared" si="55"/>
        <v/>
      </c>
    </row>
    <row r="211" spans="41:45" hidden="1">
      <c r="AO211" s="612" t="str">
        <f t="shared" si="51"/>
        <v>blank</v>
      </c>
      <c r="AP211" s="260" t="str">
        <f t="shared" si="52"/>
        <v>blank</v>
      </c>
      <c r="AQ211" s="548" t="str">
        <f t="shared" si="53"/>
        <v/>
      </c>
      <c r="AR211" s="260" t="str">
        <f t="shared" si="54"/>
        <v/>
      </c>
      <c r="AS211" s="260" t="str">
        <f t="shared" si="55"/>
        <v/>
      </c>
    </row>
    <row r="212" spans="41:45" hidden="1">
      <c r="AO212" s="612" t="str">
        <f t="shared" si="51"/>
        <v>blank</v>
      </c>
      <c r="AP212" s="260" t="str">
        <f t="shared" si="52"/>
        <v>blank</v>
      </c>
      <c r="AQ212" s="548" t="str">
        <f t="shared" si="53"/>
        <v/>
      </c>
      <c r="AR212" s="260" t="str">
        <f t="shared" si="54"/>
        <v/>
      </c>
      <c r="AS212" s="260" t="str">
        <f t="shared" si="55"/>
        <v/>
      </c>
    </row>
    <row r="213" spans="41:45" hidden="1">
      <c r="AO213" s="612" t="str">
        <f t="shared" si="51"/>
        <v>blank</v>
      </c>
      <c r="AP213" s="260" t="str">
        <f t="shared" si="52"/>
        <v>blank</v>
      </c>
      <c r="AQ213" s="548" t="str">
        <f t="shared" si="53"/>
        <v/>
      </c>
      <c r="AR213" s="260" t="str">
        <f t="shared" si="54"/>
        <v/>
      </c>
      <c r="AS213" s="260" t="str">
        <f t="shared" si="55"/>
        <v/>
      </c>
    </row>
    <row r="214" spans="41:45" hidden="1">
      <c r="AO214" s="612" t="str">
        <f t="shared" ref="AO214:AO277" si="56">IFERROR(IF(Y214&lt;&gt;"",Y214,"blank"),"NA")</f>
        <v>blank</v>
      </c>
      <c r="AP214" s="260" t="str">
        <f t="shared" ref="AP214:AP277" si="57">IFERROR(IF(N214&lt;&gt;"",N214,"blank"),"NA")</f>
        <v>blank</v>
      </c>
      <c r="AQ214" s="548" t="str">
        <f t="shared" si="53"/>
        <v/>
      </c>
      <c r="AR214" s="260" t="str">
        <f t="shared" si="54"/>
        <v/>
      </c>
      <c r="AS214" s="260" t="str">
        <f t="shared" si="55"/>
        <v/>
      </c>
    </row>
    <row r="215" spans="41:45" hidden="1">
      <c r="AO215" s="612" t="str">
        <f t="shared" si="56"/>
        <v>blank</v>
      </c>
      <c r="AP215" s="260" t="str">
        <f t="shared" si="57"/>
        <v>blank</v>
      </c>
      <c r="AQ215" s="548" t="str">
        <f t="shared" si="53"/>
        <v/>
      </c>
      <c r="AR215" s="260" t="str">
        <f t="shared" si="54"/>
        <v/>
      </c>
      <c r="AS215" s="260" t="str">
        <f t="shared" si="55"/>
        <v/>
      </c>
    </row>
    <row r="216" spans="41:45" hidden="1">
      <c r="AO216" s="612" t="str">
        <f t="shared" si="56"/>
        <v>blank</v>
      </c>
      <c r="AP216" s="260" t="str">
        <f t="shared" si="57"/>
        <v>blank</v>
      </c>
      <c r="AQ216" s="548" t="str">
        <f t="shared" si="53"/>
        <v/>
      </c>
      <c r="AR216" s="260" t="str">
        <f t="shared" si="54"/>
        <v/>
      </c>
      <c r="AS216" s="260" t="str">
        <f t="shared" si="55"/>
        <v/>
      </c>
    </row>
    <row r="217" spans="41:45" hidden="1">
      <c r="AO217" s="612" t="str">
        <f t="shared" si="56"/>
        <v>blank</v>
      </c>
      <c r="AP217" s="260" t="str">
        <f t="shared" si="57"/>
        <v>blank</v>
      </c>
      <c r="AQ217" s="548" t="str">
        <f t="shared" si="53"/>
        <v/>
      </c>
      <c r="AR217" s="260" t="str">
        <f t="shared" si="54"/>
        <v/>
      </c>
      <c r="AS217" s="260" t="str">
        <f t="shared" si="55"/>
        <v/>
      </c>
    </row>
    <row r="218" spans="41:45" hidden="1">
      <c r="AO218" s="612" t="str">
        <f t="shared" si="56"/>
        <v>blank</v>
      </c>
      <c r="AP218" s="260" t="str">
        <f t="shared" si="57"/>
        <v>blank</v>
      </c>
      <c r="AQ218" s="548" t="str">
        <f t="shared" si="53"/>
        <v/>
      </c>
      <c r="AR218" s="260" t="str">
        <f t="shared" si="54"/>
        <v/>
      </c>
      <c r="AS218" s="260" t="str">
        <f t="shared" si="55"/>
        <v/>
      </c>
    </row>
    <row r="219" spans="41:45" hidden="1">
      <c r="AO219" s="612" t="str">
        <f t="shared" si="56"/>
        <v>blank</v>
      </c>
      <c r="AP219" s="260" t="str">
        <f t="shared" si="57"/>
        <v>blank</v>
      </c>
      <c r="AQ219" s="548" t="str">
        <f t="shared" si="53"/>
        <v/>
      </c>
      <c r="AR219" s="260" t="str">
        <f t="shared" si="54"/>
        <v/>
      </c>
      <c r="AS219" s="260" t="str">
        <f t="shared" si="55"/>
        <v/>
      </c>
    </row>
    <row r="220" spans="41:45" hidden="1">
      <c r="AO220" s="612" t="str">
        <f t="shared" si="56"/>
        <v>blank</v>
      </c>
      <c r="AP220" s="260" t="str">
        <f t="shared" si="57"/>
        <v>blank</v>
      </c>
      <c r="AQ220" s="548" t="str">
        <f t="shared" si="53"/>
        <v/>
      </c>
      <c r="AR220" s="260" t="str">
        <f t="shared" si="54"/>
        <v/>
      </c>
      <c r="AS220" s="260" t="str">
        <f t="shared" si="55"/>
        <v/>
      </c>
    </row>
    <row r="221" spans="41:45" hidden="1">
      <c r="AO221" s="612" t="str">
        <f t="shared" si="56"/>
        <v>blank</v>
      </c>
      <c r="AP221" s="260" t="str">
        <f t="shared" si="57"/>
        <v>blank</v>
      </c>
      <c r="AQ221" s="548" t="str">
        <f t="shared" si="53"/>
        <v/>
      </c>
      <c r="AR221" s="260" t="str">
        <f t="shared" si="54"/>
        <v/>
      </c>
      <c r="AS221" s="260" t="str">
        <f t="shared" si="55"/>
        <v/>
      </c>
    </row>
    <row r="222" spans="41:45" hidden="1">
      <c r="AO222" s="612" t="str">
        <f t="shared" si="56"/>
        <v>blank</v>
      </c>
      <c r="AP222" s="260" t="str">
        <f t="shared" si="57"/>
        <v>blank</v>
      </c>
      <c r="AQ222" s="548" t="str">
        <f t="shared" si="53"/>
        <v/>
      </c>
      <c r="AR222" s="260" t="str">
        <f t="shared" si="54"/>
        <v/>
      </c>
      <c r="AS222" s="260" t="str">
        <f t="shared" si="55"/>
        <v/>
      </c>
    </row>
    <row r="223" spans="41:45" hidden="1">
      <c r="AO223" s="612" t="str">
        <f t="shared" si="56"/>
        <v>blank</v>
      </c>
      <c r="AP223" s="260" t="str">
        <f t="shared" si="57"/>
        <v>blank</v>
      </c>
      <c r="AQ223" s="548" t="str">
        <f t="shared" si="53"/>
        <v/>
      </c>
      <c r="AR223" s="260" t="str">
        <f t="shared" si="54"/>
        <v/>
      </c>
      <c r="AS223" s="260" t="str">
        <f t="shared" si="55"/>
        <v/>
      </c>
    </row>
    <row r="224" spans="41:45" hidden="1">
      <c r="AO224" s="612" t="str">
        <f t="shared" si="56"/>
        <v>blank</v>
      </c>
      <c r="AP224" s="260" t="str">
        <f t="shared" si="57"/>
        <v>blank</v>
      </c>
      <c r="AQ224" s="548" t="str">
        <f t="shared" si="53"/>
        <v/>
      </c>
      <c r="AR224" s="260" t="str">
        <f t="shared" si="54"/>
        <v/>
      </c>
      <c r="AS224" s="260" t="str">
        <f t="shared" si="55"/>
        <v/>
      </c>
    </row>
    <row r="225" spans="41:45" hidden="1">
      <c r="AO225" s="612" t="str">
        <f t="shared" si="56"/>
        <v>blank</v>
      </c>
      <c r="AP225" s="260" t="str">
        <f t="shared" si="57"/>
        <v>blank</v>
      </c>
      <c r="AQ225" s="548" t="str">
        <f t="shared" si="53"/>
        <v/>
      </c>
      <c r="AR225" s="260" t="str">
        <f t="shared" si="54"/>
        <v/>
      </c>
      <c r="AS225" s="260" t="str">
        <f t="shared" si="55"/>
        <v/>
      </c>
    </row>
    <row r="226" spans="41:45" hidden="1">
      <c r="AO226" s="612" t="str">
        <f t="shared" si="56"/>
        <v>blank</v>
      </c>
      <c r="AP226" s="260" t="str">
        <f t="shared" si="57"/>
        <v>blank</v>
      </c>
      <c r="AQ226" s="548" t="str">
        <f t="shared" si="53"/>
        <v/>
      </c>
      <c r="AR226" s="260" t="str">
        <f t="shared" si="54"/>
        <v/>
      </c>
      <c r="AS226" s="260" t="str">
        <f t="shared" si="55"/>
        <v/>
      </c>
    </row>
    <row r="227" spans="41:45" hidden="1">
      <c r="AO227" s="612" t="str">
        <f t="shared" si="56"/>
        <v>blank</v>
      </c>
      <c r="AP227" s="260" t="str">
        <f t="shared" si="57"/>
        <v>blank</v>
      </c>
      <c r="AQ227" s="548" t="str">
        <f t="shared" si="53"/>
        <v/>
      </c>
      <c r="AR227" s="260" t="str">
        <f t="shared" si="54"/>
        <v/>
      </c>
      <c r="AS227" s="260" t="str">
        <f t="shared" si="55"/>
        <v/>
      </c>
    </row>
    <row r="228" spans="41:45" hidden="1">
      <c r="AO228" s="612" t="str">
        <f t="shared" si="56"/>
        <v>blank</v>
      </c>
      <c r="AP228" s="260" t="str">
        <f t="shared" si="57"/>
        <v>blank</v>
      </c>
      <c r="AQ228" s="548" t="str">
        <f t="shared" si="53"/>
        <v/>
      </c>
      <c r="AR228" s="260" t="str">
        <f t="shared" si="54"/>
        <v/>
      </c>
      <c r="AS228" s="260" t="str">
        <f t="shared" si="55"/>
        <v/>
      </c>
    </row>
    <row r="229" spans="41:45" hidden="1">
      <c r="AO229" s="612" t="str">
        <f t="shared" si="56"/>
        <v>blank</v>
      </c>
      <c r="AP229" s="260" t="str">
        <f t="shared" si="57"/>
        <v>blank</v>
      </c>
      <c r="AQ229" s="548" t="str">
        <f t="shared" si="53"/>
        <v/>
      </c>
      <c r="AR229" s="260" t="str">
        <f t="shared" si="54"/>
        <v/>
      </c>
      <c r="AS229" s="260" t="str">
        <f t="shared" si="55"/>
        <v/>
      </c>
    </row>
    <row r="230" spans="41:45" hidden="1">
      <c r="AO230" s="612" t="str">
        <f t="shared" si="56"/>
        <v>blank</v>
      </c>
      <c r="AP230" s="260" t="str">
        <f t="shared" si="57"/>
        <v>blank</v>
      </c>
      <c r="AQ230" s="548" t="str">
        <f t="shared" si="53"/>
        <v/>
      </c>
      <c r="AR230" s="260" t="str">
        <f t="shared" si="54"/>
        <v/>
      </c>
      <c r="AS230" s="260" t="str">
        <f t="shared" si="55"/>
        <v/>
      </c>
    </row>
    <row r="231" spans="41:45" hidden="1">
      <c r="AO231" s="612" t="str">
        <f t="shared" si="56"/>
        <v>blank</v>
      </c>
      <c r="AP231" s="260" t="str">
        <f t="shared" si="57"/>
        <v>blank</v>
      </c>
      <c r="AQ231" s="548" t="str">
        <f t="shared" si="53"/>
        <v/>
      </c>
      <c r="AR231" s="260" t="str">
        <f t="shared" si="54"/>
        <v/>
      </c>
      <c r="AS231" s="260" t="str">
        <f t="shared" si="55"/>
        <v/>
      </c>
    </row>
    <row r="232" spans="41:45" hidden="1">
      <c r="AO232" s="612" t="str">
        <f t="shared" si="56"/>
        <v>blank</v>
      </c>
      <c r="AP232" s="260" t="str">
        <f t="shared" si="57"/>
        <v>blank</v>
      </c>
      <c r="AQ232" s="548" t="str">
        <f t="shared" si="53"/>
        <v/>
      </c>
      <c r="AR232" s="260" t="str">
        <f t="shared" si="54"/>
        <v/>
      </c>
      <c r="AS232" s="260" t="str">
        <f t="shared" si="55"/>
        <v/>
      </c>
    </row>
    <row r="233" spans="41:45" hidden="1">
      <c r="AO233" s="612" t="str">
        <f t="shared" si="56"/>
        <v>blank</v>
      </c>
      <c r="AP233" s="260" t="str">
        <f t="shared" si="57"/>
        <v>blank</v>
      </c>
      <c r="AQ233" s="548" t="str">
        <f t="shared" si="53"/>
        <v/>
      </c>
      <c r="AR233" s="260" t="str">
        <f t="shared" si="54"/>
        <v/>
      </c>
      <c r="AS233" s="260" t="str">
        <f t="shared" si="55"/>
        <v/>
      </c>
    </row>
    <row r="234" spans="41:45" hidden="1">
      <c r="AO234" s="612" t="str">
        <f t="shared" si="56"/>
        <v>blank</v>
      </c>
      <c r="AP234" s="260" t="str">
        <f t="shared" si="57"/>
        <v>blank</v>
      </c>
      <c r="AQ234" s="548" t="str">
        <f t="shared" si="53"/>
        <v/>
      </c>
      <c r="AR234" s="260" t="str">
        <f t="shared" si="54"/>
        <v/>
      </c>
      <c r="AS234" s="260" t="str">
        <f t="shared" si="55"/>
        <v/>
      </c>
    </row>
    <row r="235" spans="41:45" hidden="1">
      <c r="AO235" s="612" t="str">
        <f t="shared" si="56"/>
        <v>blank</v>
      </c>
      <c r="AP235" s="260" t="str">
        <f t="shared" si="57"/>
        <v>blank</v>
      </c>
      <c r="AQ235" s="548" t="str">
        <f t="shared" si="53"/>
        <v/>
      </c>
      <c r="AR235" s="260" t="str">
        <f t="shared" si="54"/>
        <v/>
      </c>
      <c r="AS235" s="260" t="str">
        <f t="shared" si="55"/>
        <v/>
      </c>
    </row>
    <row r="236" spans="41:45" hidden="1">
      <c r="AO236" s="612" t="str">
        <f t="shared" si="56"/>
        <v>blank</v>
      </c>
      <c r="AP236" s="260" t="str">
        <f t="shared" si="57"/>
        <v>blank</v>
      </c>
      <c r="AQ236" s="548" t="str">
        <f t="shared" si="53"/>
        <v/>
      </c>
      <c r="AR236" s="260" t="str">
        <f t="shared" si="54"/>
        <v/>
      </c>
      <c r="AS236" s="260" t="str">
        <f t="shared" si="55"/>
        <v/>
      </c>
    </row>
    <row r="237" spans="41:45" hidden="1">
      <c r="AO237" s="612" t="str">
        <f t="shared" si="56"/>
        <v>blank</v>
      </c>
      <c r="AP237" s="260" t="str">
        <f t="shared" si="57"/>
        <v>blank</v>
      </c>
      <c r="AQ237" s="548" t="str">
        <f t="shared" si="53"/>
        <v/>
      </c>
      <c r="AR237" s="260" t="str">
        <f t="shared" si="54"/>
        <v/>
      </c>
      <c r="AS237" s="260" t="str">
        <f t="shared" si="55"/>
        <v/>
      </c>
    </row>
    <row r="238" spans="41:45" hidden="1">
      <c r="AO238" s="612" t="str">
        <f t="shared" si="56"/>
        <v>blank</v>
      </c>
      <c r="AP238" s="260" t="str">
        <f t="shared" si="57"/>
        <v>blank</v>
      </c>
      <c r="AQ238" s="548" t="str">
        <f t="shared" si="53"/>
        <v/>
      </c>
      <c r="AR238" s="260" t="str">
        <f t="shared" si="54"/>
        <v/>
      </c>
      <c r="AS238" s="260" t="str">
        <f t="shared" si="55"/>
        <v/>
      </c>
    </row>
    <row r="239" spans="41:45" hidden="1">
      <c r="AO239" s="612" t="str">
        <f t="shared" si="56"/>
        <v>blank</v>
      </c>
      <c r="AP239" s="260" t="str">
        <f t="shared" si="57"/>
        <v>blank</v>
      </c>
      <c r="AQ239" s="548" t="str">
        <f t="shared" si="53"/>
        <v/>
      </c>
      <c r="AR239" s="260" t="str">
        <f t="shared" si="54"/>
        <v/>
      </c>
      <c r="AS239" s="260" t="str">
        <f t="shared" si="55"/>
        <v/>
      </c>
    </row>
    <row r="240" spans="41:45" hidden="1">
      <c r="AO240" s="612" t="str">
        <f t="shared" si="56"/>
        <v>blank</v>
      </c>
      <c r="AP240" s="260" t="str">
        <f t="shared" si="57"/>
        <v>blank</v>
      </c>
      <c r="AQ240" s="548" t="str">
        <f t="shared" si="53"/>
        <v/>
      </c>
      <c r="AR240" s="260" t="str">
        <f t="shared" si="54"/>
        <v/>
      </c>
      <c r="AS240" s="260" t="str">
        <f t="shared" si="55"/>
        <v/>
      </c>
    </row>
    <row r="241" spans="41:45" hidden="1">
      <c r="AO241" s="612" t="str">
        <f t="shared" si="56"/>
        <v>blank</v>
      </c>
      <c r="AP241" s="260" t="str">
        <f t="shared" si="57"/>
        <v>blank</v>
      </c>
      <c r="AQ241" s="548" t="str">
        <f t="shared" si="53"/>
        <v/>
      </c>
      <c r="AR241" s="260" t="str">
        <f t="shared" si="54"/>
        <v/>
      </c>
      <c r="AS241" s="260" t="str">
        <f t="shared" si="55"/>
        <v/>
      </c>
    </row>
    <row r="242" spans="41:45" hidden="1">
      <c r="AO242" s="612" t="str">
        <f t="shared" si="56"/>
        <v>blank</v>
      </c>
      <c r="AP242" s="260" t="str">
        <f t="shared" si="57"/>
        <v>blank</v>
      </c>
      <c r="AQ242" s="548" t="str">
        <f t="shared" si="53"/>
        <v/>
      </c>
      <c r="AR242" s="260" t="str">
        <f t="shared" si="54"/>
        <v/>
      </c>
      <c r="AS242" s="260" t="str">
        <f t="shared" si="55"/>
        <v/>
      </c>
    </row>
    <row r="243" spans="41:45" hidden="1">
      <c r="AO243" s="612" t="str">
        <f t="shared" si="56"/>
        <v>blank</v>
      </c>
      <c r="AP243" s="260" t="str">
        <f t="shared" si="57"/>
        <v>blank</v>
      </c>
      <c r="AQ243" s="548" t="str">
        <f t="shared" si="53"/>
        <v/>
      </c>
      <c r="AR243" s="260" t="str">
        <f t="shared" si="54"/>
        <v/>
      </c>
      <c r="AS243" s="260" t="str">
        <f t="shared" si="55"/>
        <v/>
      </c>
    </row>
    <row r="244" spans="41:45" hidden="1">
      <c r="AO244" s="612" t="str">
        <f t="shared" si="56"/>
        <v>blank</v>
      </c>
      <c r="AP244" s="260" t="str">
        <f t="shared" si="57"/>
        <v>blank</v>
      </c>
      <c r="AQ244" s="548" t="str">
        <f t="shared" si="53"/>
        <v/>
      </c>
      <c r="AR244" s="260" t="str">
        <f t="shared" si="54"/>
        <v/>
      </c>
      <c r="AS244" s="260" t="str">
        <f t="shared" si="55"/>
        <v/>
      </c>
    </row>
    <row r="245" spans="41:45" hidden="1">
      <c r="AO245" s="612" t="str">
        <f t="shared" si="56"/>
        <v>blank</v>
      </c>
      <c r="AP245" s="260" t="str">
        <f t="shared" si="57"/>
        <v>blank</v>
      </c>
      <c r="AQ245" s="548" t="str">
        <f t="shared" si="53"/>
        <v/>
      </c>
      <c r="AR245" s="260" t="str">
        <f t="shared" si="54"/>
        <v/>
      </c>
      <c r="AS245" s="260" t="str">
        <f t="shared" si="55"/>
        <v/>
      </c>
    </row>
    <row r="246" spans="41:45" hidden="1">
      <c r="AO246" s="612" t="str">
        <f t="shared" si="56"/>
        <v>blank</v>
      </c>
      <c r="AP246" s="260" t="str">
        <f t="shared" si="57"/>
        <v>blank</v>
      </c>
      <c r="AQ246" s="548" t="str">
        <f t="shared" si="53"/>
        <v/>
      </c>
      <c r="AR246" s="260" t="str">
        <f t="shared" si="54"/>
        <v/>
      </c>
      <c r="AS246" s="260" t="str">
        <f t="shared" si="55"/>
        <v/>
      </c>
    </row>
    <row r="247" spans="41:45" hidden="1">
      <c r="AO247" s="612" t="str">
        <f t="shared" si="56"/>
        <v>blank</v>
      </c>
      <c r="AP247" s="260" t="str">
        <f t="shared" si="57"/>
        <v>blank</v>
      </c>
      <c r="AQ247" s="548" t="str">
        <f t="shared" si="53"/>
        <v/>
      </c>
      <c r="AR247" s="260" t="str">
        <f t="shared" si="54"/>
        <v/>
      </c>
      <c r="AS247" s="260" t="str">
        <f t="shared" si="55"/>
        <v/>
      </c>
    </row>
    <row r="248" spans="41:45" hidden="1">
      <c r="AO248" s="612" t="str">
        <f t="shared" si="56"/>
        <v>blank</v>
      </c>
      <c r="AP248" s="260" t="str">
        <f t="shared" si="57"/>
        <v>blank</v>
      </c>
      <c r="AQ248" s="548" t="str">
        <f t="shared" si="53"/>
        <v/>
      </c>
      <c r="AR248" s="260" t="str">
        <f t="shared" si="54"/>
        <v/>
      </c>
      <c r="AS248" s="260" t="str">
        <f t="shared" si="55"/>
        <v/>
      </c>
    </row>
    <row r="249" spans="41:45" hidden="1">
      <c r="AO249" s="612" t="str">
        <f t="shared" si="56"/>
        <v>blank</v>
      </c>
      <c r="AP249" s="260" t="str">
        <f t="shared" si="57"/>
        <v>blank</v>
      </c>
      <c r="AQ249" s="548" t="str">
        <f t="shared" si="53"/>
        <v/>
      </c>
      <c r="AR249" s="260" t="str">
        <f t="shared" si="54"/>
        <v/>
      </c>
      <c r="AS249" s="260" t="str">
        <f t="shared" si="55"/>
        <v/>
      </c>
    </row>
    <row r="250" spans="41:45" hidden="1">
      <c r="AO250" s="612" t="str">
        <f t="shared" si="56"/>
        <v>blank</v>
      </c>
      <c r="AP250" s="260" t="str">
        <f t="shared" si="57"/>
        <v>blank</v>
      </c>
      <c r="AQ250" s="548" t="str">
        <f t="shared" si="53"/>
        <v/>
      </c>
      <c r="AR250" s="260" t="str">
        <f t="shared" si="54"/>
        <v/>
      </c>
      <c r="AS250" s="260" t="str">
        <f t="shared" si="55"/>
        <v/>
      </c>
    </row>
    <row r="251" spans="41:45" hidden="1">
      <c r="AO251" s="612" t="str">
        <f t="shared" si="56"/>
        <v>blank</v>
      </c>
      <c r="AP251" s="260" t="str">
        <f t="shared" si="57"/>
        <v>blank</v>
      </c>
      <c r="AQ251" s="548" t="str">
        <f t="shared" si="53"/>
        <v/>
      </c>
      <c r="AR251" s="260" t="str">
        <f t="shared" si="54"/>
        <v/>
      </c>
      <c r="AS251" s="260" t="str">
        <f t="shared" si="55"/>
        <v/>
      </c>
    </row>
    <row r="252" spans="41:45" hidden="1">
      <c r="AO252" s="612" t="str">
        <f t="shared" si="56"/>
        <v>blank</v>
      </c>
      <c r="AP252" s="260" t="str">
        <f t="shared" si="57"/>
        <v>blank</v>
      </c>
      <c r="AQ252" s="548" t="str">
        <f t="shared" si="53"/>
        <v/>
      </c>
      <c r="AR252" s="260" t="str">
        <f t="shared" si="54"/>
        <v/>
      </c>
      <c r="AS252" s="260" t="str">
        <f t="shared" si="55"/>
        <v/>
      </c>
    </row>
    <row r="253" spans="41:45" hidden="1">
      <c r="AO253" s="612" t="str">
        <f t="shared" si="56"/>
        <v>blank</v>
      </c>
      <c r="AP253" s="260" t="str">
        <f t="shared" si="57"/>
        <v>blank</v>
      </c>
      <c r="AQ253" s="548" t="str">
        <f t="shared" si="53"/>
        <v/>
      </c>
      <c r="AR253" s="260" t="str">
        <f t="shared" si="54"/>
        <v/>
      </c>
      <c r="AS253" s="260" t="str">
        <f t="shared" si="55"/>
        <v/>
      </c>
    </row>
    <row r="254" spans="41:45" hidden="1">
      <c r="AO254" s="612" t="str">
        <f t="shared" si="56"/>
        <v>blank</v>
      </c>
      <c r="AP254" s="260" t="str">
        <f t="shared" si="57"/>
        <v>blank</v>
      </c>
      <c r="AQ254" s="548" t="str">
        <f t="shared" si="53"/>
        <v/>
      </c>
      <c r="AR254" s="260" t="str">
        <f t="shared" si="54"/>
        <v/>
      </c>
      <c r="AS254" s="260" t="str">
        <f t="shared" si="55"/>
        <v/>
      </c>
    </row>
    <row r="255" spans="41:45" hidden="1">
      <c r="AO255" s="612" t="str">
        <f t="shared" si="56"/>
        <v>blank</v>
      </c>
      <c r="AP255" s="260" t="str">
        <f t="shared" si="57"/>
        <v>blank</v>
      </c>
      <c r="AQ255" s="548" t="str">
        <f t="shared" si="53"/>
        <v/>
      </c>
      <c r="AR255" s="260" t="str">
        <f t="shared" si="54"/>
        <v/>
      </c>
      <c r="AS255" s="260" t="str">
        <f t="shared" si="55"/>
        <v/>
      </c>
    </row>
    <row r="256" spans="41:45" hidden="1">
      <c r="AO256" s="612" t="str">
        <f t="shared" si="56"/>
        <v>blank</v>
      </c>
      <c r="AP256" s="260" t="str">
        <f t="shared" si="57"/>
        <v>blank</v>
      </c>
      <c r="AQ256" s="548" t="str">
        <f t="shared" si="53"/>
        <v/>
      </c>
      <c r="AR256" s="260" t="str">
        <f t="shared" si="54"/>
        <v/>
      </c>
      <c r="AS256" s="260" t="str">
        <f t="shared" si="55"/>
        <v/>
      </c>
    </row>
    <row r="257" spans="41:45" hidden="1">
      <c r="AO257" s="612" t="str">
        <f t="shared" si="56"/>
        <v>blank</v>
      </c>
      <c r="AP257" s="260" t="str">
        <f t="shared" si="57"/>
        <v>blank</v>
      </c>
      <c r="AQ257" s="548" t="str">
        <f t="shared" si="53"/>
        <v/>
      </c>
      <c r="AR257" s="260" t="str">
        <f t="shared" si="54"/>
        <v/>
      </c>
      <c r="AS257" s="260" t="str">
        <f t="shared" si="55"/>
        <v/>
      </c>
    </row>
    <row r="258" spans="41:45" hidden="1">
      <c r="AO258" s="612" t="str">
        <f t="shared" si="56"/>
        <v>blank</v>
      </c>
      <c r="AP258" s="260" t="str">
        <f t="shared" si="57"/>
        <v>blank</v>
      </c>
      <c r="AQ258" s="548" t="str">
        <f t="shared" si="53"/>
        <v/>
      </c>
      <c r="AR258" s="260" t="str">
        <f t="shared" si="54"/>
        <v/>
      </c>
      <c r="AS258" s="260" t="str">
        <f t="shared" si="55"/>
        <v/>
      </c>
    </row>
    <row r="259" spans="41:45" hidden="1">
      <c r="AO259" s="612" t="str">
        <f t="shared" si="56"/>
        <v>blank</v>
      </c>
      <c r="AP259" s="260" t="str">
        <f t="shared" si="57"/>
        <v>blank</v>
      </c>
      <c r="AQ259" s="548" t="str">
        <f t="shared" ref="AQ259:AQ322" si="58">IFERROR(IF(AND(AO259="Yes", AP259&lt;&gt;"blank"), "有定金+客戶送貨期", IF(AND(AO259="Yes", AP259="blank"), "有定金+无客戶送貨期", IF(AND(OR(AO259="No", ISBLANK(AO259), AO259="NA"), AP259&lt;&gt;"blank"), "无定金+有客戶送貨期", IF(AND(OR(AO259="No", ISBLANK(AO259), AO259="NA"), AP259="blank"), "无定金+无客戶送貨期", "")))), "")</f>
        <v/>
      </c>
      <c r="AR259" s="260" t="str">
        <f t="shared" ref="AR259:AR322" si="59">IFERROR(IF(B259="已经到货", "Instock", IF(B259="有交期", "Incoming_Stock_With_YAMAHA_Schedule", IF(B259="TBA.", "Incoming_Stock_No_YAMAHA_Schedule", IF(B259="已发货", "Shipped_Stock", "")))), "")</f>
        <v/>
      </c>
      <c r="AS259" s="260" t="str">
        <f t="shared" ref="AS259:AS322" si="60">IF(AND(B259="有交期", L259&lt;&gt;""), L259, "")</f>
        <v/>
      </c>
    </row>
    <row r="260" spans="41:45" hidden="1">
      <c r="AO260" s="612" t="str">
        <f t="shared" si="56"/>
        <v>blank</v>
      </c>
      <c r="AP260" s="260" t="str">
        <f t="shared" si="57"/>
        <v>blank</v>
      </c>
      <c r="AQ260" s="548" t="str">
        <f t="shared" si="58"/>
        <v/>
      </c>
      <c r="AR260" s="260" t="str">
        <f t="shared" si="59"/>
        <v/>
      </c>
      <c r="AS260" s="260" t="str">
        <f t="shared" si="60"/>
        <v/>
      </c>
    </row>
    <row r="261" spans="41:45" hidden="1">
      <c r="AO261" s="612" t="str">
        <f t="shared" si="56"/>
        <v>blank</v>
      </c>
      <c r="AP261" s="260" t="str">
        <f t="shared" si="57"/>
        <v>blank</v>
      </c>
      <c r="AQ261" s="548" t="str">
        <f t="shared" si="58"/>
        <v/>
      </c>
      <c r="AR261" s="260" t="str">
        <f t="shared" si="59"/>
        <v/>
      </c>
      <c r="AS261" s="260" t="str">
        <f t="shared" si="60"/>
        <v/>
      </c>
    </row>
    <row r="262" spans="41:45" hidden="1">
      <c r="AO262" s="612" t="str">
        <f t="shared" si="56"/>
        <v>blank</v>
      </c>
      <c r="AP262" s="260" t="str">
        <f t="shared" si="57"/>
        <v>blank</v>
      </c>
      <c r="AQ262" s="548" t="str">
        <f t="shared" si="58"/>
        <v/>
      </c>
      <c r="AR262" s="260" t="str">
        <f t="shared" si="59"/>
        <v/>
      </c>
      <c r="AS262" s="260" t="str">
        <f t="shared" si="60"/>
        <v/>
      </c>
    </row>
    <row r="263" spans="41:45" hidden="1">
      <c r="AO263" s="612" t="str">
        <f t="shared" si="56"/>
        <v>blank</v>
      </c>
      <c r="AP263" s="260" t="str">
        <f t="shared" si="57"/>
        <v>blank</v>
      </c>
      <c r="AQ263" s="548" t="str">
        <f t="shared" si="58"/>
        <v/>
      </c>
      <c r="AR263" s="260" t="str">
        <f t="shared" si="59"/>
        <v/>
      </c>
      <c r="AS263" s="260" t="str">
        <f t="shared" si="60"/>
        <v/>
      </c>
    </row>
    <row r="264" spans="41:45" hidden="1">
      <c r="AO264" s="612" t="str">
        <f t="shared" si="56"/>
        <v>blank</v>
      </c>
      <c r="AP264" s="260" t="str">
        <f t="shared" si="57"/>
        <v>blank</v>
      </c>
      <c r="AQ264" s="548" t="str">
        <f t="shared" si="58"/>
        <v/>
      </c>
      <c r="AR264" s="260" t="str">
        <f t="shared" si="59"/>
        <v/>
      </c>
      <c r="AS264" s="260" t="str">
        <f t="shared" si="60"/>
        <v/>
      </c>
    </row>
    <row r="265" spans="41:45" hidden="1">
      <c r="AO265" s="612" t="str">
        <f t="shared" si="56"/>
        <v>blank</v>
      </c>
      <c r="AP265" s="260" t="str">
        <f t="shared" si="57"/>
        <v>blank</v>
      </c>
      <c r="AQ265" s="548" t="str">
        <f t="shared" si="58"/>
        <v/>
      </c>
      <c r="AR265" s="260" t="str">
        <f t="shared" si="59"/>
        <v/>
      </c>
      <c r="AS265" s="260" t="str">
        <f t="shared" si="60"/>
        <v/>
      </c>
    </row>
    <row r="266" spans="41:45" hidden="1">
      <c r="AO266" s="612" t="str">
        <f t="shared" si="56"/>
        <v>blank</v>
      </c>
      <c r="AP266" s="260" t="str">
        <f t="shared" si="57"/>
        <v>blank</v>
      </c>
      <c r="AQ266" s="548" t="str">
        <f t="shared" si="58"/>
        <v/>
      </c>
      <c r="AR266" s="260" t="str">
        <f t="shared" si="59"/>
        <v/>
      </c>
      <c r="AS266" s="260" t="str">
        <f t="shared" si="60"/>
        <v/>
      </c>
    </row>
    <row r="267" spans="41:45" hidden="1">
      <c r="AO267" s="612" t="str">
        <f t="shared" si="56"/>
        <v>blank</v>
      </c>
      <c r="AP267" s="260" t="str">
        <f t="shared" si="57"/>
        <v>blank</v>
      </c>
      <c r="AQ267" s="548" t="str">
        <f t="shared" si="58"/>
        <v/>
      </c>
      <c r="AR267" s="260" t="str">
        <f t="shared" si="59"/>
        <v/>
      </c>
      <c r="AS267" s="260" t="str">
        <f t="shared" si="60"/>
        <v/>
      </c>
    </row>
    <row r="268" spans="41:45" hidden="1">
      <c r="AO268" s="612" t="str">
        <f t="shared" si="56"/>
        <v>blank</v>
      </c>
      <c r="AP268" s="260" t="str">
        <f t="shared" si="57"/>
        <v>blank</v>
      </c>
      <c r="AQ268" s="548" t="str">
        <f t="shared" si="58"/>
        <v/>
      </c>
      <c r="AR268" s="260" t="str">
        <f t="shared" si="59"/>
        <v/>
      </c>
      <c r="AS268" s="260" t="str">
        <f t="shared" si="60"/>
        <v/>
      </c>
    </row>
    <row r="269" spans="41:45" hidden="1">
      <c r="AO269" s="612" t="str">
        <f t="shared" si="56"/>
        <v>blank</v>
      </c>
      <c r="AP269" s="260" t="str">
        <f t="shared" si="57"/>
        <v>blank</v>
      </c>
      <c r="AQ269" s="548" t="str">
        <f t="shared" si="58"/>
        <v/>
      </c>
      <c r="AR269" s="260" t="str">
        <f t="shared" si="59"/>
        <v/>
      </c>
      <c r="AS269" s="260" t="str">
        <f t="shared" si="60"/>
        <v/>
      </c>
    </row>
    <row r="270" spans="41:45" hidden="1">
      <c r="AO270" s="612" t="str">
        <f t="shared" si="56"/>
        <v>blank</v>
      </c>
      <c r="AP270" s="260" t="str">
        <f t="shared" si="57"/>
        <v>blank</v>
      </c>
      <c r="AQ270" s="548" t="str">
        <f t="shared" si="58"/>
        <v/>
      </c>
      <c r="AR270" s="260" t="str">
        <f t="shared" si="59"/>
        <v/>
      </c>
      <c r="AS270" s="260" t="str">
        <f t="shared" si="60"/>
        <v/>
      </c>
    </row>
    <row r="271" spans="41:45" hidden="1">
      <c r="AO271" s="612" t="str">
        <f t="shared" si="56"/>
        <v>blank</v>
      </c>
      <c r="AP271" s="260" t="str">
        <f t="shared" si="57"/>
        <v>blank</v>
      </c>
      <c r="AQ271" s="548" t="str">
        <f t="shared" si="58"/>
        <v/>
      </c>
      <c r="AR271" s="260" t="str">
        <f t="shared" si="59"/>
        <v/>
      </c>
      <c r="AS271" s="260" t="str">
        <f t="shared" si="60"/>
        <v/>
      </c>
    </row>
    <row r="272" spans="41:45" hidden="1">
      <c r="AO272" s="612" t="str">
        <f t="shared" si="56"/>
        <v>blank</v>
      </c>
      <c r="AP272" s="260" t="str">
        <f t="shared" si="57"/>
        <v>blank</v>
      </c>
      <c r="AQ272" s="548" t="str">
        <f t="shared" si="58"/>
        <v/>
      </c>
      <c r="AR272" s="260" t="str">
        <f t="shared" si="59"/>
        <v/>
      </c>
      <c r="AS272" s="260" t="str">
        <f t="shared" si="60"/>
        <v/>
      </c>
    </row>
    <row r="273" spans="41:45" hidden="1">
      <c r="AO273" s="612" t="str">
        <f t="shared" si="56"/>
        <v>blank</v>
      </c>
      <c r="AP273" s="260" t="str">
        <f t="shared" si="57"/>
        <v>blank</v>
      </c>
      <c r="AQ273" s="548" t="str">
        <f t="shared" si="58"/>
        <v/>
      </c>
      <c r="AR273" s="260" t="str">
        <f t="shared" si="59"/>
        <v/>
      </c>
      <c r="AS273" s="260" t="str">
        <f t="shared" si="60"/>
        <v/>
      </c>
    </row>
    <row r="274" spans="41:45" hidden="1">
      <c r="AO274" s="612" t="str">
        <f t="shared" si="56"/>
        <v>blank</v>
      </c>
      <c r="AP274" s="260" t="str">
        <f t="shared" si="57"/>
        <v>blank</v>
      </c>
      <c r="AQ274" s="548" t="str">
        <f t="shared" si="58"/>
        <v/>
      </c>
      <c r="AR274" s="260" t="str">
        <f t="shared" si="59"/>
        <v/>
      </c>
      <c r="AS274" s="260" t="str">
        <f t="shared" si="60"/>
        <v/>
      </c>
    </row>
    <row r="275" spans="41:45" hidden="1">
      <c r="AO275" s="612" t="str">
        <f t="shared" si="56"/>
        <v>blank</v>
      </c>
      <c r="AP275" s="260" t="str">
        <f t="shared" si="57"/>
        <v>blank</v>
      </c>
      <c r="AQ275" s="548" t="str">
        <f t="shared" si="58"/>
        <v/>
      </c>
      <c r="AR275" s="260" t="str">
        <f t="shared" si="59"/>
        <v/>
      </c>
      <c r="AS275" s="260" t="str">
        <f t="shared" si="60"/>
        <v/>
      </c>
    </row>
    <row r="276" spans="41:45" hidden="1">
      <c r="AO276" s="612" t="str">
        <f t="shared" si="56"/>
        <v>blank</v>
      </c>
      <c r="AP276" s="260" t="str">
        <f t="shared" si="57"/>
        <v>blank</v>
      </c>
      <c r="AQ276" s="548" t="str">
        <f t="shared" si="58"/>
        <v/>
      </c>
      <c r="AR276" s="260" t="str">
        <f t="shared" si="59"/>
        <v/>
      </c>
      <c r="AS276" s="260" t="str">
        <f t="shared" si="60"/>
        <v/>
      </c>
    </row>
    <row r="277" spans="41:45" hidden="1">
      <c r="AO277" s="612" t="str">
        <f t="shared" si="56"/>
        <v>blank</v>
      </c>
      <c r="AP277" s="260" t="str">
        <f t="shared" si="57"/>
        <v>blank</v>
      </c>
      <c r="AQ277" s="548" t="str">
        <f t="shared" si="58"/>
        <v/>
      </c>
      <c r="AR277" s="260" t="str">
        <f t="shared" si="59"/>
        <v/>
      </c>
      <c r="AS277" s="260" t="str">
        <f t="shared" si="60"/>
        <v/>
      </c>
    </row>
    <row r="278" spans="41:45" hidden="1">
      <c r="AO278" s="612" t="str">
        <f t="shared" ref="AO278:AO341" si="61">IFERROR(IF(Y278&lt;&gt;"",Y278,"blank"),"NA")</f>
        <v>blank</v>
      </c>
      <c r="AP278" s="260" t="str">
        <f t="shared" ref="AP278:AP341" si="62">IFERROR(IF(N278&lt;&gt;"",N278,"blank"),"NA")</f>
        <v>blank</v>
      </c>
      <c r="AQ278" s="548" t="str">
        <f t="shared" si="58"/>
        <v/>
      </c>
      <c r="AR278" s="260" t="str">
        <f t="shared" si="59"/>
        <v/>
      </c>
      <c r="AS278" s="260" t="str">
        <f t="shared" si="60"/>
        <v/>
      </c>
    </row>
    <row r="279" spans="41:45" hidden="1">
      <c r="AO279" s="612" t="str">
        <f t="shared" si="61"/>
        <v>blank</v>
      </c>
      <c r="AP279" s="260" t="str">
        <f t="shared" si="62"/>
        <v>blank</v>
      </c>
      <c r="AQ279" s="548" t="str">
        <f t="shared" si="58"/>
        <v/>
      </c>
      <c r="AR279" s="260" t="str">
        <f t="shared" si="59"/>
        <v/>
      </c>
      <c r="AS279" s="260" t="str">
        <f t="shared" si="60"/>
        <v/>
      </c>
    </row>
    <row r="280" spans="41:45" hidden="1">
      <c r="AO280" s="612" t="str">
        <f t="shared" si="61"/>
        <v>blank</v>
      </c>
      <c r="AP280" s="260" t="str">
        <f t="shared" si="62"/>
        <v>blank</v>
      </c>
      <c r="AQ280" s="548" t="str">
        <f t="shared" si="58"/>
        <v/>
      </c>
      <c r="AR280" s="260" t="str">
        <f t="shared" si="59"/>
        <v/>
      </c>
      <c r="AS280" s="260" t="str">
        <f t="shared" si="60"/>
        <v/>
      </c>
    </row>
    <row r="281" spans="41:45" hidden="1">
      <c r="AO281" s="612" t="str">
        <f t="shared" si="61"/>
        <v>blank</v>
      </c>
      <c r="AP281" s="260" t="str">
        <f t="shared" si="62"/>
        <v>blank</v>
      </c>
      <c r="AQ281" s="548" t="str">
        <f t="shared" si="58"/>
        <v/>
      </c>
      <c r="AR281" s="260" t="str">
        <f t="shared" si="59"/>
        <v/>
      </c>
      <c r="AS281" s="260" t="str">
        <f t="shared" si="60"/>
        <v/>
      </c>
    </row>
    <row r="282" spans="41:45" hidden="1">
      <c r="AO282" s="612" t="str">
        <f t="shared" si="61"/>
        <v>blank</v>
      </c>
      <c r="AP282" s="260" t="str">
        <f t="shared" si="62"/>
        <v>blank</v>
      </c>
      <c r="AQ282" s="548" t="str">
        <f t="shared" si="58"/>
        <v/>
      </c>
      <c r="AR282" s="260" t="str">
        <f t="shared" si="59"/>
        <v/>
      </c>
      <c r="AS282" s="260" t="str">
        <f t="shared" si="60"/>
        <v/>
      </c>
    </row>
    <row r="283" spans="41:45" hidden="1">
      <c r="AO283" s="612" t="str">
        <f t="shared" si="61"/>
        <v>blank</v>
      </c>
      <c r="AP283" s="260" t="str">
        <f t="shared" si="62"/>
        <v>blank</v>
      </c>
      <c r="AQ283" s="548" t="str">
        <f t="shared" si="58"/>
        <v/>
      </c>
      <c r="AR283" s="260" t="str">
        <f t="shared" si="59"/>
        <v/>
      </c>
      <c r="AS283" s="260" t="str">
        <f t="shared" si="60"/>
        <v/>
      </c>
    </row>
    <row r="284" spans="41:45" hidden="1">
      <c r="AO284" s="612" t="str">
        <f t="shared" si="61"/>
        <v>blank</v>
      </c>
      <c r="AP284" s="260" t="str">
        <f t="shared" si="62"/>
        <v>blank</v>
      </c>
      <c r="AQ284" s="548" t="str">
        <f t="shared" si="58"/>
        <v/>
      </c>
      <c r="AR284" s="260" t="str">
        <f t="shared" si="59"/>
        <v/>
      </c>
      <c r="AS284" s="260" t="str">
        <f t="shared" si="60"/>
        <v/>
      </c>
    </row>
    <row r="285" spans="41:45" hidden="1">
      <c r="AO285" s="612" t="str">
        <f t="shared" si="61"/>
        <v>blank</v>
      </c>
      <c r="AP285" s="260" t="str">
        <f t="shared" si="62"/>
        <v>blank</v>
      </c>
      <c r="AQ285" s="548" t="str">
        <f t="shared" si="58"/>
        <v/>
      </c>
      <c r="AR285" s="260" t="str">
        <f t="shared" si="59"/>
        <v/>
      </c>
      <c r="AS285" s="260" t="str">
        <f t="shared" si="60"/>
        <v/>
      </c>
    </row>
    <row r="286" spans="41:45" hidden="1">
      <c r="AO286" s="612" t="str">
        <f t="shared" si="61"/>
        <v>blank</v>
      </c>
      <c r="AP286" s="260" t="str">
        <f t="shared" si="62"/>
        <v>blank</v>
      </c>
      <c r="AQ286" s="548" t="str">
        <f t="shared" si="58"/>
        <v/>
      </c>
      <c r="AR286" s="260" t="str">
        <f t="shared" si="59"/>
        <v/>
      </c>
      <c r="AS286" s="260" t="str">
        <f t="shared" si="60"/>
        <v/>
      </c>
    </row>
    <row r="287" spans="41:45" hidden="1">
      <c r="AO287" s="612" t="str">
        <f t="shared" si="61"/>
        <v>blank</v>
      </c>
      <c r="AP287" s="260" t="str">
        <f t="shared" si="62"/>
        <v>blank</v>
      </c>
      <c r="AQ287" s="548" t="str">
        <f t="shared" si="58"/>
        <v/>
      </c>
      <c r="AR287" s="260" t="str">
        <f t="shared" si="59"/>
        <v/>
      </c>
      <c r="AS287" s="260" t="str">
        <f t="shared" si="60"/>
        <v/>
      </c>
    </row>
    <row r="288" spans="41:45" hidden="1">
      <c r="AO288" s="612" t="str">
        <f t="shared" si="61"/>
        <v>blank</v>
      </c>
      <c r="AP288" s="260" t="str">
        <f t="shared" si="62"/>
        <v>blank</v>
      </c>
      <c r="AQ288" s="548" t="str">
        <f t="shared" si="58"/>
        <v/>
      </c>
      <c r="AR288" s="260" t="str">
        <f t="shared" si="59"/>
        <v/>
      </c>
      <c r="AS288" s="260" t="str">
        <f t="shared" si="60"/>
        <v/>
      </c>
    </row>
    <row r="289" spans="41:45" hidden="1">
      <c r="AO289" s="612" t="str">
        <f t="shared" si="61"/>
        <v>blank</v>
      </c>
      <c r="AP289" s="260" t="str">
        <f t="shared" si="62"/>
        <v>blank</v>
      </c>
      <c r="AQ289" s="548" t="str">
        <f t="shared" si="58"/>
        <v/>
      </c>
      <c r="AR289" s="260" t="str">
        <f t="shared" si="59"/>
        <v/>
      </c>
      <c r="AS289" s="260" t="str">
        <f t="shared" si="60"/>
        <v/>
      </c>
    </row>
    <row r="290" spans="41:45" hidden="1">
      <c r="AO290" s="612" t="str">
        <f t="shared" si="61"/>
        <v>blank</v>
      </c>
      <c r="AP290" s="260" t="str">
        <f t="shared" si="62"/>
        <v>blank</v>
      </c>
      <c r="AQ290" s="548" t="str">
        <f t="shared" si="58"/>
        <v/>
      </c>
      <c r="AR290" s="260" t="str">
        <f t="shared" si="59"/>
        <v/>
      </c>
      <c r="AS290" s="260" t="str">
        <f t="shared" si="60"/>
        <v/>
      </c>
    </row>
    <row r="291" spans="41:45" hidden="1">
      <c r="AO291" s="612" t="str">
        <f t="shared" si="61"/>
        <v>blank</v>
      </c>
      <c r="AP291" s="260" t="str">
        <f t="shared" si="62"/>
        <v>blank</v>
      </c>
      <c r="AQ291" s="548" t="str">
        <f t="shared" si="58"/>
        <v/>
      </c>
      <c r="AR291" s="260" t="str">
        <f t="shared" si="59"/>
        <v/>
      </c>
      <c r="AS291" s="260" t="str">
        <f t="shared" si="60"/>
        <v/>
      </c>
    </row>
    <row r="292" spans="41:45" hidden="1">
      <c r="AO292" s="612" t="str">
        <f t="shared" si="61"/>
        <v>blank</v>
      </c>
      <c r="AP292" s="260" t="str">
        <f t="shared" si="62"/>
        <v>blank</v>
      </c>
      <c r="AQ292" s="548" t="str">
        <f t="shared" si="58"/>
        <v/>
      </c>
      <c r="AR292" s="260" t="str">
        <f t="shared" si="59"/>
        <v/>
      </c>
      <c r="AS292" s="260" t="str">
        <f t="shared" si="60"/>
        <v/>
      </c>
    </row>
    <row r="293" spans="41:45" hidden="1">
      <c r="AO293" s="612" t="str">
        <f t="shared" si="61"/>
        <v>blank</v>
      </c>
      <c r="AP293" s="260" t="str">
        <f t="shared" si="62"/>
        <v>blank</v>
      </c>
      <c r="AQ293" s="548" t="str">
        <f t="shared" si="58"/>
        <v/>
      </c>
      <c r="AR293" s="260" t="str">
        <f t="shared" si="59"/>
        <v/>
      </c>
      <c r="AS293" s="260" t="str">
        <f t="shared" si="60"/>
        <v/>
      </c>
    </row>
    <row r="294" spans="41:45" hidden="1">
      <c r="AO294" s="612" t="str">
        <f t="shared" si="61"/>
        <v>blank</v>
      </c>
      <c r="AP294" s="260" t="str">
        <f t="shared" si="62"/>
        <v>blank</v>
      </c>
      <c r="AQ294" s="548" t="str">
        <f t="shared" si="58"/>
        <v/>
      </c>
      <c r="AR294" s="260" t="str">
        <f t="shared" si="59"/>
        <v/>
      </c>
      <c r="AS294" s="260" t="str">
        <f t="shared" si="60"/>
        <v/>
      </c>
    </row>
    <row r="295" spans="41:45" hidden="1">
      <c r="AO295" s="612" t="str">
        <f t="shared" si="61"/>
        <v>blank</v>
      </c>
      <c r="AP295" s="260" t="str">
        <f t="shared" si="62"/>
        <v>blank</v>
      </c>
      <c r="AQ295" s="548" t="str">
        <f t="shared" si="58"/>
        <v/>
      </c>
      <c r="AR295" s="260" t="str">
        <f t="shared" si="59"/>
        <v/>
      </c>
      <c r="AS295" s="260" t="str">
        <f t="shared" si="60"/>
        <v/>
      </c>
    </row>
    <row r="296" spans="41:45" hidden="1">
      <c r="AO296" s="612" t="str">
        <f t="shared" si="61"/>
        <v>blank</v>
      </c>
      <c r="AP296" s="260" t="str">
        <f t="shared" si="62"/>
        <v>blank</v>
      </c>
      <c r="AQ296" s="548" t="str">
        <f t="shared" si="58"/>
        <v/>
      </c>
      <c r="AR296" s="260" t="str">
        <f t="shared" si="59"/>
        <v/>
      </c>
      <c r="AS296" s="260" t="str">
        <f t="shared" si="60"/>
        <v/>
      </c>
    </row>
    <row r="297" spans="41:45" hidden="1">
      <c r="AO297" s="612" t="str">
        <f t="shared" si="61"/>
        <v>blank</v>
      </c>
      <c r="AP297" s="260" t="str">
        <f t="shared" si="62"/>
        <v>blank</v>
      </c>
      <c r="AQ297" s="548" t="str">
        <f t="shared" si="58"/>
        <v/>
      </c>
      <c r="AR297" s="260" t="str">
        <f t="shared" si="59"/>
        <v/>
      </c>
      <c r="AS297" s="260" t="str">
        <f t="shared" si="60"/>
        <v/>
      </c>
    </row>
    <row r="298" spans="41:45" hidden="1">
      <c r="AO298" s="612" t="str">
        <f t="shared" si="61"/>
        <v>blank</v>
      </c>
      <c r="AP298" s="260" t="str">
        <f t="shared" si="62"/>
        <v>blank</v>
      </c>
      <c r="AQ298" s="548" t="str">
        <f t="shared" si="58"/>
        <v/>
      </c>
      <c r="AR298" s="260" t="str">
        <f t="shared" si="59"/>
        <v/>
      </c>
      <c r="AS298" s="260" t="str">
        <f t="shared" si="60"/>
        <v/>
      </c>
    </row>
    <row r="299" spans="41:45" hidden="1">
      <c r="AO299" s="612" t="str">
        <f t="shared" si="61"/>
        <v>blank</v>
      </c>
      <c r="AP299" s="260" t="str">
        <f t="shared" si="62"/>
        <v>blank</v>
      </c>
      <c r="AQ299" s="548" t="str">
        <f t="shared" si="58"/>
        <v/>
      </c>
      <c r="AR299" s="260" t="str">
        <f t="shared" si="59"/>
        <v/>
      </c>
      <c r="AS299" s="260" t="str">
        <f t="shared" si="60"/>
        <v/>
      </c>
    </row>
    <row r="300" spans="41:45" hidden="1">
      <c r="AO300" s="612" t="str">
        <f t="shared" si="61"/>
        <v>blank</v>
      </c>
      <c r="AP300" s="260" t="str">
        <f t="shared" si="62"/>
        <v>blank</v>
      </c>
      <c r="AQ300" s="548" t="str">
        <f t="shared" si="58"/>
        <v/>
      </c>
      <c r="AR300" s="260" t="str">
        <f t="shared" si="59"/>
        <v/>
      </c>
      <c r="AS300" s="260" t="str">
        <f t="shared" si="60"/>
        <v/>
      </c>
    </row>
    <row r="301" spans="41:45" hidden="1">
      <c r="AO301" s="612" t="str">
        <f t="shared" si="61"/>
        <v>blank</v>
      </c>
      <c r="AP301" s="260" t="str">
        <f t="shared" si="62"/>
        <v>blank</v>
      </c>
      <c r="AQ301" s="548" t="str">
        <f t="shared" si="58"/>
        <v/>
      </c>
      <c r="AR301" s="260" t="str">
        <f t="shared" si="59"/>
        <v/>
      </c>
      <c r="AS301" s="260" t="str">
        <f t="shared" si="60"/>
        <v/>
      </c>
    </row>
    <row r="302" spans="41:45" hidden="1">
      <c r="AO302" s="612" t="str">
        <f t="shared" si="61"/>
        <v>blank</v>
      </c>
      <c r="AP302" s="260" t="str">
        <f t="shared" si="62"/>
        <v>blank</v>
      </c>
      <c r="AQ302" s="548" t="str">
        <f t="shared" si="58"/>
        <v/>
      </c>
      <c r="AR302" s="260" t="str">
        <f t="shared" si="59"/>
        <v/>
      </c>
      <c r="AS302" s="260" t="str">
        <f t="shared" si="60"/>
        <v/>
      </c>
    </row>
    <row r="303" spans="41:45" hidden="1">
      <c r="AO303" s="612" t="str">
        <f t="shared" si="61"/>
        <v>blank</v>
      </c>
      <c r="AP303" s="260" t="str">
        <f t="shared" si="62"/>
        <v>blank</v>
      </c>
      <c r="AQ303" s="548" t="str">
        <f t="shared" si="58"/>
        <v/>
      </c>
      <c r="AR303" s="260" t="str">
        <f t="shared" si="59"/>
        <v/>
      </c>
      <c r="AS303" s="260" t="str">
        <f t="shared" si="60"/>
        <v/>
      </c>
    </row>
    <row r="304" spans="41:45" hidden="1">
      <c r="AO304" s="612" t="str">
        <f t="shared" si="61"/>
        <v>blank</v>
      </c>
      <c r="AP304" s="260" t="str">
        <f t="shared" si="62"/>
        <v>blank</v>
      </c>
      <c r="AQ304" s="548" t="str">
        <f t="shared" si="58"/>
        <v/>
      </c>
      <c r="AR304" s="260" t="str">
        <f t="shared" si="59"/>
        <v/>
      </c>
      <c r="AS304" s="260" t="str">
        <f t="shared" si="60"/>
        <v/>
      </c>
    </row>
    <row r="305" spans="41:45" hidden="1">
      <c r="AO305" s="612" t="str">
        <f t="shared" si="61"/>
        <v>blank</v>
      </c>
      <c r="AP305" s="260" t="str">
        <f t="shared" si="62"/>
        <v>blank</v>
      </c>
      <c r="AQ305" s="548" t="str">
        <f t="shared" si="58"/>
        <v/>
      </c>
      <c r="AR305" s="260" t="str">
        <f t="shared" si="59"/>
        <v/>
      </c>
      <c r="AS305" s="260" t="str">
        <f t="shared" si="60"/>
        <v/>
      </c>
    </row>
    <row r="306" spans="41:45" hidden="1">
      <c r="AO306" s="612" t="str">
        <f t="shared" si="61"/>
        <v>blank</v>
      </c>
      <c r="AP306" s="260" t="str">
        <f t="shared" si="62"/>
        <v>blank</v>
      </c>
      <c r="AQ306" s="548" t="str">
        <f t="shared" si="58"/>
        <v/>
      </c>
      <c r="AR306" s="260" t="str">
        <f t="shared" si="59"/>
        <v/>
      </c>
      <c r="AS306" s="260" t="str">
        <f t="shared" si="60"/>
        <v/>
      </c>
    </row>
    <row r="307" spans="41:45" hidden="1">
      <c r="AO307" s="612" t="str">
        <f t="shared" si="61"/>
        <v>blank</v>
      </c>
      <c r="AP307" s="260" t="str">
        <f t="shared" si="62"/>
        <v>blank</v>
      </c>
      <c r="AQ307" s="548" t="str">
        <f t="shared" si="58"/>
        <v/>
      </c>
      <c r="AR307" s="260" t="str">
        <f t="shared" si="59"/>
        <v/>
      </c>
      <c r="AS307" s="260" t="str">
        <f t="shared" si="60"/>
        <v/>
      </c>
    </row>
    <row r="308" spans="41:45" hidden="1">
      <c r="AO308" s="612" t="str">
        <f t="shared" si="61"/>
        <v>blank</v>
      </c>
      <c r="AP308" s="260" t="str">
        <f t="shared" si="62"/>
        <v>blank</v>
      </c>
      <c r="AQ308" s="548" t="str">
        <f t="shared" si="58"/>
        <v/>
      </c>
      <c r="AR308" s="260" t="str">
        <f t="shared" si="59"/>
        <v/>
      </c>
      <c r="AS308" s="260" t="str">
        <f t="shared" si="60"/>
        <v/>
      </c>
    </row>
    <row r="309" spans="41:45" hidden="1">
      <c r="AO309" s="612" t="str">
        <f t="shared" si="61"/>
        <v>blank</v>
      </c>
      <c r="AP309" s="260" t="str">
        <f t="shared" si="62"/>
        <v>blank</v>
      </c>
      <c r="AQ309" s="548" t="str">
        <f t="shared" si="58"/>
        <v/>
      </c>
      <c r="AR309" s="260" t="str">
        <f t="shared" si="59"/>
        <v/>
      </c>
      <c r="AS309" s="260" t="str">
        <f t="shared" si="60"/>
        <v/>
      </c>
    </row>
    <row r="310" spans="41:45" hidden="1">
      <c r="AO310" s="612" t="str">
        <f t="shared" si="61"/>
        <v>blank</v>
      </c>
      <c r="AP310" s="260" t="str">
        <f t="shared" si="62"/>
        <v>blank</v>
      </c>
      <c r="AQ310" s="548" t="str">
        <f t="shared" si="58"/>
        <v/>
      </c>
      <c r="AR310" s="260" t="str">
        <f t="shared" si="59"/>
        <v/>
      </c>
      <c r="AS310" s="260" t="str">
        <f t="shared" si="60"/>
        <v/>
      </c>
    </row>
    <row r="311" spans="41:45" hidden="1">
      <c r="AO311" s="612" t="str">
        <f t="shared" si="61"/>
        <v>blank</v>
      </c>
      <c r="AP311" s="260" t="str">
        <f t="shared" si="62"/>
        <v>blank</v>
      </c>
      <c r="AQ311" s="548" t="str">
        <f t="shared" si="58"/>
        <v/>
      </c>
      <c r="AR311" s="260" t="str">
        <f t="shared" si="59"/>
        <v/>
      </c>
      <c r="AS311" s="260" t="str">
        <f t="shared" si="60"/>
        <v/>
      </c>
    </row>
    <row r="312" spans="41:45" hidden="1">
      <c r="AO312" s="612" t="str">
        <f t="shared" si="61"/>
        <v>blank</v>
      </c>
      <c r="AP312" s="260" t="str">
        <f t="shared" si="62"/>
        <v>blank</v>
      </c>
      <c r="AQ312" s="548" t="str">
        <f t="shared" si="58"/>
        <v/>
      </c>
      <c r="AR312" s="260" t="str">
        <f t="shared" si="59"/>
        <v/>
      </c>
      <c r="AS312" s="260" t="str">
        <f t="shared" si="60"/>
        <v/>
      </c>
    </row>
    <row r="313" spans="41:45" hidden="1">
      <c r="AO313" s="612" t="str">
        <f t="shared" si="61"/>
        <v>blank</v>
      </c>
      <c r="AP313" s="260" t="str">
        <f t="shared" si="62"/>
        <v>blank</v>
      </c>
      <c r="AQ313" s="548" t="str">
        <f t="shared" si="58"/>
        <v/>
      </c>
      <c r="AR313" s="260" t="str">
        <f t="shared" si="59"/>
        <v/>
      </c>
      <c r="AS313" s="260" t="str">
        <f t="shared" si="60"/>
        <v/>
      </c>
    </row>
    <row r="314" spans="41:45" hidden="1">
      <c r="AO314" s="612" t="str">
        <f t="shared" si="61"/>
        <v>blank</v>
      </c>
      <c r="AP314" s="260" t="str">
        <f t="shared" si="62"/>
        <v>blank</v>
      </c>
      <c r="AQ314" s="548" t="str">
        <f t="shared" si="58"/>
        <v/>
      </c>
      <c r="AR314" s="260" t="str">
        <f t="shared" si="59"/>
        <v/>
      </c>
      <c r="AS314" s="260" t="str">
        <f t="shared" si="60"/>
        <v/>
      </c>
    </row>
    <row r="315" spans="41:45" hidden="1">
      <c r="AO315" s="612" t="str">
        <f t="shared" si="61"/>
        <v>blank</v>
      </c>
      <c r="AP315" s="260" t="str">
        <f t="shared" si="62"/>
        <v>blank</v>
      </c>
      <c r="AQ315" s="548" t="str">
        <f t="shared" si="58"/>
        <v/>
      </c>
      <c r="AR315" s="260" t="str">
        <f t="shared" si="59"/>
        <v/>
      </c>
      <c r="AS315" s="260" t="str">
        <f t="shared" si="60"/>
        <v/>
      </c>
    </row>
    <row r="316" spans="41:45" hidden="1">
      <c r="AO316" s="612" t="str">
        <f t="shared" si="61"/>
        <v>blank</v>
      </c>
      <c r="AP316" s="260" t="str">
        <f t="shared" si="62"/>
        <v>blank</v>
      </c>
      <c r="AQ316" s="548" t="str">
        <f t="shared" si="58"/>
        <v/>
      </c>
      <c r="AR316" s="260" t="str">
        <f t="shared" si="59"/>
        <v/>
      </c>
      <c r="AS316" s="260" t="str">
        <f t="shared" si="60"/>
        <v/>
      </c>
    </row>
    <row r="317" spans="41:45" hidden="1">
      <c r="AO317" s="612" t="str">
        <f t="shared" si="61"/>
        <v>blank</v>
      </c>
      <c r="AP317" s="260" t="str">
        <f t="shared" si="62"/>
        <v>blank</v>
      </c>
      <c r="AQ317" s="548" t="str">
        <f t="shared" si="58"/>
        <v/>
      </c>
      <c r="AR317" s="260" t="str">
        <f t="shared" si="59"/>
        <v/>
      </c>
      <c r="AS317" s="260" t="str">
        <f t="shared" si="60"/>
        <v/>
      </c>
    </row>
    <row r="318" spans="41:45" hidden="1">
      <c r="AO318" s="612" t="str">
        <f t="shared" si="61"/>
        <v>blank</v>
      </c>
      <c r="AP318" s="260" t="str">
        <f t="shared" si="62"/>
        <v>blank</v>
      </c>
      <c r="AQ318" s="548" t="str">
        <f t="shared" si="58"/>
        <v/>
      </c>
      <c r="AR318" s="260" t="str">
        <f t="shared" si="59"/>
        <v/>
      </c>
      <c r="AS318" s="260" t="str">
        <f t="shared" si="60"/>
        <v/>
      </c>
    </row>
    <row r="319" spans="41:45" hidden="1">
      <c r="AO319" s="612" t="str">
        <f t="shared" si="61"/>
        <v>blank</v>
      </c>
      <c r="AP319" s="260" t="str">
        <f t="shared" si="62"/>
        <v>blank</v>
      </c>
      <c r="AQ319" s="548" t="str">
        <f t="shared" si="58"/>
        <v/>
      </c>
      <c r="AR319" s="260" t="str">
        <f t="shared" si="59"/>
        <v/>
      </c>
      <c r="AS319" s="260" t="str">
        <f t="shared" si="60"/>
        <v/>
      </c>
    </row>
    <row r="320" spans="41:45" hidden="1">
      <c r="AO320" s="612" t="str">
        <f t="shared" si="61"/>
        <v>blank</v>
      </c>
      <c r="AP320" s="260" t="str">
        <f t="shared" si="62"/>
        <v>blank</v>
      </c>
      <c r="AQ320" s="548" t="str">
        <f t="shared" si="58"/>
        <v/>
      </c>
      <c r="AR320" s="260" t="str">
        <f t="shared" si="59"/>
        <v/>
      </c>
      <c r="AS320" s="260" t="str">
        <f t="shared" si="60"/>
        <v/>
      </c>
    </row>
    <row r="321" spans="41:45" hidden="1">
      <c r="AO321" s="612" t="str">
        <f t="shared" si="61"/>
        <v>blank</v>
      </c>
      <c r="AP321" s="260" t="str">
        <f t="shared" si="62"/>
        <v>blank</v>
      </c>
      <c r="AQ321" s="548" t="str">
        <f t="shared" si="58"/>
        <v/>
      </c>
      <c r="AR321" s="260" t="str">
        <f t="shared" si="59"/>
        <v/>
      </c>
      <c r="AS321" s="260" t="str">
        <f t="shared" si="60"/>
        <v/>
      </c>
    </row>
    <row r="322" spans="41:45" hidden="1">
      <c r="AO322" s="612" t="str">
        <f t="shared" si="61"/>
        <v>blank</v>
      </c>
      <c r="AP322" s="260" t="str">
        <f t="shared" si="62"/>
        <v>blank</v>
      </c>
      <c r="AQ322" s="548" t="str">
        <f t="shared" si="58"/>
        <v/>
      </c>
      <c r="AR322" s="260" t="str">
        <f t="shared" si="59"/>
        <v/>
      </c>
      <c r="AS322" s="260" t="str">
        <f t="shared" si="60"/>
        <v/>
      </c>
    </row>
    <row r="323" spans="41:45" hidden="1">
      <c r="AO323" s="612" t="str">
        <f t="shared" si="61"/>
        <v>blank</v>
      </c>
      <c r="AP323" s="260" t="str">
        <f t="shared" si="62"/>
        <v>blank</v>
      </c>
      <c r="AQ323" s="548" t="str">
        <f t="shared" ref="AQ323:AQ386" si="63">IFERROR(IF(AND(AO323="Yes", AP323&lt;&gt;"blank"), "有定金+客戶送貨期", IF(AND(AO323="Yes", AP323="blank"), "有定金+无客戶送貨期", IF(AND(OR(AO323="No", ISBLANK(AO323), AO323="NA"), AP323&lt;&gt;"blank"), "无定金+有客戶送貨期", IF(AND(OR(AO323="No", ISBLANK(AO323), AO323="NA"), AP323="blank"), "无定金+无客戶送貨期", "")))), "")</f>
        <v/>
      </c>
      <c r="AR323" s="260" t="str">
        <f t="shared" ref="AR323:AR386" si="64">IFERROR(IF(B323="已经到货", "Instock", IF(B323="有交期", "Incoming_Stock_With_YAMAHA_Schedule", IF(B323="TBA.", "Incoming_Stock_No_YAMAHA_Schedule", IF(B323="已发货", "Shipped_Stock", "")))), "")</f>
        <v/>
      </c>
      <c r="AS323" s="260" t="str">
        <f t="shared" ref="AS323:AS386" si="65">IF(AND(B323="有交期", L323&lt;&gt;""), L323, "")</f>
        <v/>
      </c>
    </row>
    <row r="324" spans="41:45" hidden="1">
      <c r="AO324" s="612" t="str">
        <f t="shared" si="61"/>
        <v>blank</v>
      </c>
      <c r="AP324" s="260" t="str">
        <f t="shared" si="62"/>
        <v>blank</v>
      </c>
      <c r="AQ324" s="548" t="str">
        <f t="shared" si="63"/>
        <v/>
      </c>
      <c r="AR324" s="260" t="str">
        <f t="shared" si="64"/>
        <v/>
      </c>
      <c r="AS324" s="260" t="str">
        <f t="shared" si="65"/>
        <v/>
      </c>
    </row>
    <row r="325" spans="41:45" hidden="1">
      <c r="AO325" s="612" t="str">
        <f t="shared" si="61"/>
        <v>blank</v>
      </c>
      <c r="AP325" s="260" t="str">
        <f t="shared" si="62"/>
        <v>blank</v>
      </c>
      <c r="AQ325" s="548" t="str">
        <f t="shared" si="63"/>
        <v/>
      </c>
      <c r="AR325" s="260" t="str">
        <f t="shared" si="64"/>
        <v/>
      </c>
      <c r="AS325" s="260" t="str">
        <f t="shared" si="65"/>
        <v/>
      </c>
    </row>
    <row r="326" spans="41:45" hidden="1">
      <c r="AO326" s="612" t="str">
        <f t="shared" si="61"/>
        <v>blank</v>
      </c>
      <c r="AP326" s="260" t="str">
        <f t="shared" si="62"/>
        <v>blank</v>
      </c>
      <c r="AQ326" s="548" t="str">
        <f t="shared" si="63"/>
        <v/>
      </c>
      <c r="AR326" s="260" t="str">
        <f t="shared" si="64"/>
        <v/>
      </c>
      <c r="AS326" s="260" t="str">
        <f t="shared" si="65"/>
        <v/>
      </c>
    </row>
    <row r="327" spans="41:45" hidden="1">
      <c r="AO327" s="612" t="str">
        <f t="shared" si="61"/>
        <v>blank</v>
      </c>
      <c r="AP327" s="260" t="str">
        <f t="shared" si="62"/>
        <v>blank</v>
      </c>
      <c r="AQ327" s="548" t="str">
        <f t="shared" si="63"/>
        <v/>
      </c>
      <c r="AR327" s="260" t="str">
        <f t="shared" si="64"/>
        <v/>
      </c>
      <c r="AS327" s="260" t="str">
        <f t="shared" si="65"/>
        <v/>
      </c>
    </row>
    <row r="328" spans="41:45" hidden="1">
      <c r="AO328" s="612" t="str">
        <f t="shared" si="61"/>
        <v>blank</v>
      </c>
      <c r="AP328" s="260" t="str">
        <f t="shared" si="62"/>
        <v>blank</v>
      </c>
      <c r="AQ328" s="548" t="str">
        <f t="shared" si="63"/>
        <v/>
      </c>
      <c r="AR328" s="260" t="str">
        <f t="shared" si="64"/>
        <v/>
      </c>
      <c r="AS328" s="260" t="str">
        <f t="shared" si="65"/>
        <v/>
      </c>
    </row>
    <row r="329" spans="41:45" hidden="1">
      <c r="AO329" s="612" t="str">
        <f t="shared" si="61"/>
        <v>blank</v>
      </c>
      <c r="AP329" s="260" t="str">
        <f t="shared" si="62"/>
        <v>blank</v>
      </c>
      <c r="AQ329" s="548" t="str">
        <f t="shared" si="63"/>
        <v/>
      </c>
      <c r="AR329" s="260" t="str">
        <f t="shared" si="64"/>
        <v/>
      </c>
      <c r="AS329" s="260" t="str">
        <f t="shared" si="65"/>
        <v/>
      </c>
    </row>
    <row r="330" spans="41:45" hidden="1">
      <c r="AO330" s="612" t="str">
        <f t="shared" si="61"/>
        <v>blank</v>
      </c>
      <c r="AP330" s="260" t="str">
        <f t="shared" si="62"/>
        <v>blank</v>
      </c>
      <c r="AQ330" s="548" t="str">
        <f t="shared" si="63"/>
        <v/>
      </c>
      <c r="AR330" s="260" t="str">
        <f t="shared" si="64"/>
        <v/>
      </c>
      <c r="AS330" s="260" t="str">
        <f t="shared" si="65"/>
        <v/>
      </c>
    </row>
    <row r="331" spans="41:45" hidden="1">
      <c r="AO331" s="612" t="str">
        <f t="shared" si="61"/>
        <v>blank</v>
      </c>
      <c r="AP331" s="260" t="str">
        <f t="shared" si="62"/>
        <v>blank</v>
      </c>
      <c r="AQ331" s="548" t="str">
        <f t="shared" si="63"/>
        <v/>
      </c>
      <c r="AR331" s="260" t="str">
        <f t="shared" si="64"/>
        <v/>
      </c>
      <c r="AS331" s="260" t="str">
        <f t="shared" si="65"/>
        <v/>
      </c>
    </row>
    <row r="332" spans="41:45" hidden="1">
      <c r="AO332" s="612" t="str">
        <f t="shared" si="61"/>
        <v>blank</v>
      </c>
      <c r="AP332" s="260" t="str">
        <f t="shared" si="62"/>
        <v>blank</v>
      </c>
      <c r="AQ332" s="548" t="str">
        <f t="shared" si="63"/>
        <v/>
      </c>
      <c r="AR332" s="260" t="str">
        <f t="shared" si="64"/>
        <v/>
      </c>
      <c r="AS332" s="260" t="str">
        <f t="shared" si="65"/>
        <v/>
      </c>
    </row>
    <row r="333" spans="41:45" hidden="1">
      <c r="AO333" s="612" t="str">
        <f t="shared" si="61"/>
        <v>blank</v>
      </c>
      <c r="AP333" s="260" t="str">
        <f t="shared" si="62"/>
        <v>blank</v>
      </c>
      <c r="AQ333" s="548" t="str">
        <f t="shared" si="63"/>
        <v/>
      </c>
      <c r="AR333" s="260" t="str">
        <f t="shared" si="64"/>
        <v/>
      </c>
      <c r="AS333" s="260" t="str">
        <f t="shared" si="65"/>
        <v/>
      </c>
    </row>
    <row r="334" spans="41:45" hidden="1">
      <c r="AO334" s="612" t="str">
        <f t="shared" si="61"/>
        <v>blank</v>
      </c>
      <c r="AP334" s="260" t="str">
        <f t="shared" si="62"/>
        <v>blank</v>
      </c>
      <c r="AQ334" s="548" t="str">
        <f t="shared" si="63"/>
        <v/>
      </c>
      <c r="AR334" s="260" t="str">
        <f t="shared" si="64"/>
        <v/>
      </c>
      <c r="AS334" s="260" t="str">
        <f t="shared" si="65"/>
        <v/>
      </c>
    </row>
    <row r="335" spans="41:45" hidden="1">
      <c r="AO335" s="612" t="str">
        <f t="shared" si="61"/>
        <v>blank</v>
      </c>
      <c r="AP335" s="260" t="str">
        <f t="shared" si="62"/>
        <v>blank</v>
      </c>
      <c r="AQ335" s="548" t="str">
        <f t="shared" si="63"/>
        <v/>
      </c>
      <c r="AR335" s="260" t="str">
        <f t="shared" si="64"/>
        <v/>
      </c>
      <c r="AS335" s="260" t="str">
        <f t="shared" si="65"/>
        <v/>
      </c>
    </row>
    <row r="336" spans="41:45" hidden="1">
      <c r="AO336" s="612" t="str">
        <f t="shared" si="61"/>
        <v>blank</v>
      </c>
      <c r="AP336" s="260" t="str">
        <f t="shared" si="62"/>
        <v>blank</v>
      </c>
      <c r="AQ336" s="548" t="str">
        <f t="shared" si="63"/>
        <v/>
      </c>
      <c r="AR336" s="260" t="str">
        <f t="shared" si="64"/>
        <v/>
      </c>
      <c r="AS336" s="260" t="str">
        <f t="shared" si="65"/>
        <v/>
      </c>
    </row>
    <row r="337" spans="41:45" hidden="1">
      <c r="AO337" s="612" t="str">
        <f t="shared" si="61"/>
        <v>blank</v>
      </c>
      <c r="AP337" s="260" t="str">
        <f t="shared" si="62"/>
        <v>blank</v>
      </c>
      <c r="AQ337" s="548" t="str">
        <f t="shared" si="63"/>
        <v/>
      </c>
      <c r="AR337" s="260" t="str">
        <f t="shared" si="64"/>
        <v/>
      </c>
      <c r="AS337" s="260" t="str">
        <f t="shared" si="65"/>
        <v/>
      </c>
    </row>
    <row r="338" spans="41:45" hidden="1">
      <c r="AO338" s="612" t="str">
        <f t="shared" si="61"/>
        <v>blank</v>
      </c>
      <c r="AP338" s="260" t="str">
        <f t="shared" si="62"/>
        <v>blank</v>
      </c>
      <c r="AQ338" s="548" t="str">
        <f t="shared" si="63"/>
        <v/>
      </c>
      <c r="AR338" s="260" t="str">
        <f t="shared" si="64"/>
        <v/>
      </c>
      <c r="AS338" s="260" t="str">
        <f t="shared" si="65"/>
        <v/>
      </c>
    </row>
    <row r="339" spans="41:45" hidden="1">
      <c r="AO339" s="612" t="str">
        <f t="shared" si="61"/>
        <v>blank</v>
      </c>
      <c r="AP339" s="260" t="str">
        <f t="shared" si="62"/>
        <v>blank</v>
      </c>
      <c r="AQ339" s="548" t="str">
        <f t="shared" si="63"/>
        <v/>
      </c>
      <c r="AR339" s="260" t="str">
        <f t="shared" si="64"/>
        <v/>
      </c>
      <c r="AS339" s="260" t="str">
        <f t="shared" si="65"/>
        <v/>
      </c>
    </row>
    <row r="340" spans="41:45" hidden="1">
      <c r="AO340" s="612" t="str">
        <f t="shared" si="61"/>
        <v>blank</v>
      </c>
      <c r="AP340" s="260" t="str">
        <f t="shared" si="62"/>
        <v>blank</v>
      </c>
      <c r="AQ340" s="548" t="str">
        <f t="shared" si="63"/>
        <v/>
      </c>
      <c r="AR340" s="260" t="str">
        <f t="shared" si="64"/>
        <v/>
      </c>
      <c r="AS340" s="260" t="str">
        <f t="shared" si="65"/>
        <v/>
      </c>
    </row>
    <row r="341" spans="41:45" hidden="1">
      <c r="AO341" s="612" t="str">
        <f t="shared" si="61"/>
        <v>blank</v>
      </c>
      <c r="AP341" s="260" t="str">
        <f t="shared" si="62"/>
        <v>blank</v>
      </c>
      <c r="AQ341" s="548" t="str">
        <f t="shared" si="63"/>
        <v/>
      </c>
      <c r="AR341" s="260" t="str">
        <f t="shared" si="64"/>
        <v/>
      </c>
      <c r="AS341" s="260" t="str">
        <f t="shared" si="65"/>
        <v/>
      </c>
    </row>
    <row r="342" spans="41:45" hidden="1">
      <c r="AO342" s="612" t="str">
        <f t="shared" ref="AO342:AO405" si="66">IFERROR(IF(Y342&lt;&gt;"",Y342,"blank"),"NA")</f>
        <v>blank</v>
      </c>
      <c r="AP342" s="260" t="str">
        <f t="shared" ref="AP342:AP405" si="67">IFERROR(IF(N342&lt;&gt;"",N342,"blank"),"NA")</f>
        <v>blank</v>
      </c>
      <c r="AQ342" s="548" t="str">
        <f t="shared" si="63"/>
        <v/>
      </c>
      <c r="AR342" s="260" t="str">
        <f t="shared" si="64"/>
        <v/>
      </c>
      <c r="AS342" s="260" t="str">
        <f t="shared" si="65"/>
        <v/>
      </c>
    </row>
    <row r="343" spans="41:45" hidden="1">
      <c r="AO343" s="612" t="str">
        <f t="shared" si="66"/>
        <v>blank</v>
      </c>
      <c r="AP343" s="260" t="str">
        <f t="shared" si="67"/>
        <v>blank</v>
      </c>
      <c r="AQ343" s="548" t="str">
        <f t="shared" si="63"/>
        <v/>
      </c>
      <c r="AR343" s="260" t="str">
        <f t="shared" si="64"/>
        <v/>
      </c>
      <c r="AS343" s="260" t="str">
        <f t="shared" si="65"/>
        <v/>
      </c>
    </row>
    <row r="344" spans="41:45" hidden="1">
      <c r="AO344" s="612" t="str">
        <f t="shared" si="66"/>
        <v>blank</v>
      </c>
      <c r="AP344" s="260" t="str">
        <f t="shared" si="67"/>
        <v>blank</v>
      </c>
      <c r="AQ344" s="548" t="str">
        <f t="shared" si="63"/>
        <v/>
      </c>
      <c r="AR344" s="260" t="str">
        <f t="shared" si="64"/>
        <v/>
      </c>
      <c r="AS344" s="260" t="str">
        <f t="shared" si="65"/>
        <v/>
      </c>
    </row>
    <row r="345" spans="41:45" hidden="1">
      <c r="AO345" s="612" t="str">
        <f t="shared" si="66"/>
        <v>blank</v>
      </c>
      <c r="AP345" s="260" t="str">
        <f t="shared" si="67"/>
        <v>blank</v>
      </c>
      <c r="AQ345" s="548" t="str">
        <f t="shared" si="63"/>
        <v/>
      </c>
      <c r="AR345" s="260" t="str">
        <f t="shared" si="64"/>
        <v/>
      </c>
      <c r="AS345" s="260" t="str">
        <f t="shared" si="65"/>
        <v/>
      </c>
    </row>
    <row r="346" spans="41:45" hidden="1">
      <c r="AO346" s="612" t="str">
        <f t="shared" si="66"/>
        <v>blank</v>
      </c>
      <c r="AP346" s="260" t="str">
        <f t="shared" si="67"/>
        <v>blank</v>
      </c>
      <c r="AQ346" s="548" t="str">
        <f t="shared" si="63"/>
        <v/>
      </c>
      <c r="AR346" s="260" t="str">
        <f t="shared" si="64"/>
        <v/>
      </c>
      <c r="AS346" s="260" t="str">
        <f t="shared" si="65"/>
        <v/>
      </c>
    </row>
    <row r="347" spans="41:45" hidden="1">
      <c r="AO347" s="612" t="str">
        <f t="shared" si="66"/>
        <v>blank</v>
      </c>
      <c r="AP347" s="260" t="str">
        <f t="shared" si="67"/>
        <v>blank</v>
      </c>
      <c r="AQ347" s="548" t="str">
        <f t="shared" si="63"/>
        <v/>
      </c>
      <c r="AR347" s="260" t="str">
        <f t="shared" si="64"/>
        <v/>
      </c>
      <c r="AS347" s="260" t="str">
        <f t="shared" si="65"/>
        <v/>
      </c>
    </row>
    <row r="348" spans="41:45" hidden="1">
      <c r="AO348" s="612" t="str">
        <f t="shared" si="66"/>
        <v>blank</v>
      </c>
      <c r="AP348" s="260" t="str">
        <f t="shared" si="67"/>
        <v>blank</v>
      </c>
      <c r="AQ348" s="548" t="str">
        <f t="shared" si="63"/>
        <v/>
      </c>
      <c r="AR348" s="260" t="str">
        <f t="shared" si="64"/>
        <v/>
      </c>
      <c r="AS348" s="260" t="str">
        <f t="shared" si="65"/>
        <v/>
      </c>
    </row>
    <row r="349" spans="41:45" hidden="1">
      <c r="AO349" s="612" t="str">
        <f t="shared" si="66"/>
        <v>blank</v>
      </c>
      <c r="AP349" s="260" t="str">
        <f t="shared" si="67"/>
        <v>blank</v>
      </c>
      <c r="AQ349" s="548" t="str">
        <f t="shared" si="63"/>
        <v/>
      </c>
      <c r="AR349" s="260" t="str">
        <f t="shared" si="64"/>
        <v/>
      </c>
      <c r="AS349" s="260" t="str">
        <f t="shared" si="65"/>
        <v/>
      </c>
    </row>
    <row r="350" spans="41:45" hidden="1">
      <c r="AO350" s="612" t="str">
        <f t="shared" si="66"/>
        <v>blank</v>
      </c>
      <c r="AP350" s="260" t="str">
        <f t="shared" si="67"/>
        <v>blank</v>
      </c>
      <c r="AQ350" s="548" t="str">
        <f t="shared" si="63"/>
        <v/>
      </c>
      <c r="AR350" s="260" t="str">
        <f t="shared" si="64"/>
        <v/>
      </c>
      <c r="AS350" s="260" t="str">
        <f t="shared" si="65"/>
        <v/>
      </c>
    </row>
    <row r="351" spans="41:45" hidden="1">
      <c r="AO351" s="612" t="str">
        <f t="shared" si="66"/>
        <v>blank</v>
      </c>
      <c r="AP351" s="260" t="str">
        <f t="shared" si="67"/>
        <v>blank</v>
      </c>
      <c r="AQ351" s="548" t="str">
        <f t="shared" si="63"/>
        <v/>
      </c>
      <c r="AR351" s="260" t="str">
        <f t="shared" si="64"/>
        <v/>
      </c>
      <c r="AS351" s="260" t="str">
        <f t="shared" si="65"/>
        <v/>
      </c>
    </row>
    <row r="352" spans="41:45" hidden="1">
      <c r="AO352" s="612" t="str">
        <f t="shared" si="66"/>
        <v>blank</v>
      </c>
      <c r="AP352" s="260" t="str">
        <f t="shared" si="67"/>
        <v>blank</v>
      </c>
      <c r="AQ352" s="548" t="str">
        <f t="shared" si="63"/>
        <v/>
      </c>
      <c r="AR352" s="260" t="str">
        <f t="shared" si="64"/>
        <v/>
      </c>
      <c r="AS352" s="260" t="str">
        <f t="shared" si="65"/>
        <v/>
      </c>
    </row>
    <row r="353" spans="41:45" hidden="1">
      <c r="AO353" s="612" t="str">
        <f t="shared" si="66"/>
        <v>blank</v>
      </c>
      <c r="AP353" s="260" t="str">
        <f t="shared" si="67"/>
        <v>blank</v>
      </c>
      <c r="AQ353" s="548" t="str">
        <f t="shared" si="63"/>
        <v/>
      </c>
      <c r="AR353" s="260" t="str">
        <f t="shared" si="64"/>
        <v/>
      </c>
      <c r="AS353" s="260" t="str">
        <f t="shared" si="65"/>
        <v/>
      </c>
    </row>
    <row r="354" spans="41:45" hidden="1">
      <c r="AO354" s="612" t="str">
        <f t="shared" si="66"/>
        <v>blank</v>
      </c>
      <c r="AP354" s="260" t="str">
        <f t="shared" si="67"/>
        <v>blank</v>
      </c>
      <c r="AQ354" s="548" t="str">
        <f t="shared" si="63"/>
        <v/>
      </c>
      <c r="AR354" s="260" t="str">
        <f t="shared" si="64"/>
        <v/>
      </c>
      <c r="AS354" s="260" t="str">
        <f t="shared" si="65"/>
        <v/>
      </c>
    </row>
    <row r="355" spans="41:45" hidden="1">
      <c r="AO355" s="612" t="str">
        <f t="shared" si="66"/>
        <v>blank</v>
      </c>
      <c r="AP355" s="260" t="str">
        <f t="shared" si="67"/>
        <v>blank</v>
      </c>
      <c r="AQ355" s="548" t="str">
        <f t="shared" si="63"/>
        <v/>
      </c>
      <c r="AR355" s="260" t="str">
        <f t="shared" si="64"/>
        <v/>
      </c>
      <c r="AS355" s="260" t="str">
        <f t="shared" si="65"/>
        <v/>
      </c>
    </row>
    <row r="356" spans="41:45" hidden="1">
      <c r="AO356" s="612" t="str">
        <f t="shared" si="66"/>
        <v>blank</v>
      </c>
      <c r="AP356" s="260" t="str">
        <f t="shared" si="67"/>
        <v>blank</v>
      </c>
      <c r="AQ356" s="548" t="str">
        <f t="shared" si="63"/>
        <v/>
      </c>
      <c r="AR356" s="260" t="str">
        <f t="shared" si="64"/>
        <v/>
      </c>
      <c r="AS356" s="260" t="str">
        <f t="shared" si="65"/>
        <v/>
      </c>
    </row>
    <row r="357" spans="41:45" hidden="1">
      <c r="AO357" s="612" t="str">
        <f t="shared" si="66"/>
        <v>blank</v>
      </c>
      <c r="AP357" s="260" t="str">
        <f t="shared" si="67"/>
        <v>blank</v>
      </c>
      <c r="AQ357" s="548" t="str">
        <f t="shared" si="63"/>
        <v/>
      </c>
      <c r="AR357" s="260" t="str">
        <f t="shared" si="64"/>
        <v/>
      </c>
      <c r="AS357" s="260" t="str">
        <f t="shared" si="65"/>
        <v/>
      </c>
    </row>
    <row r="358" spans="41:45" hidden="1">
      <c r="AO358" s="612" t="str">
        <f t="shared" si="66"/>
        <v>blank</v>
      </c>
      <c r="AP358" s="260" t="str">
        <f t="shared" si="67"/>
        <v>blank</v>
      </c>
      <c r="AQ358" s="548" t="str">
        <f t="shared" si="63"/>
        <v/>
      </c>
      <c r="AR358" s="260" t="str">
        <f t="shared" si="64"/>
        <v/>
      </c>
      <c r="AS358" s="260" t="str">
        <f t="shared" si="65"/>
        <v/>
      </c>
    </row>
    <row r="359" spans="41:45" hidden="1">
      <c r="AO359" s="612" t="str">
        <f t="shared" si="66"/>
        <v>blank</v>
      </c>
      <c r="AP359" s="260" t="str">
        <f t="shared" si="67"/>
        <v>blank</v>
      </c>
      <c r="AQ359" s="548" t="str">
        <f t="shared" si="63"/>
        <v/>
      </c>
      <c r="AR359" s="260" t="str">
        <f t="shared" si="64"/>
        <v/>
      </c>
      <c r="AS359" s="260" t="str">
        <f t="shared" si="65"/>
        <v/>
      </c>
    </row>
    <row r="360" spans="41:45" hidden="1">
      <c r="AO360" s="612" t="str">
        <f t="shared" si="66"/>
        <v>blank</v>
      </c>
      <c r="AP360" s="260" t="str">
        <f t="shared" si="67"/>
        <v>blank</v>
      </c>
      <c r="AQ360" s="548" t="str">
        <f t="shared" si="63"/>
        <v/>
      </c>
      <c r="AR360" s="260" t="str">
        <f t="shared" si="64"/>
        <v/>
      </c>
      <c r="AS360" s="260" t="str">
        <f t="shared" si="65"/>
        <v/>
      </c>
    </row>
    <row r="361" spans="41:45" hidden="1">
      <c r="AO361" s="612" t="str">
        <f t="shared" si="66"/>
        <v>blank</v>
      </c>
      <c r="AP361" s="260" t="str">
        <f t="shared" si="67"/>
        <v>blank</v>
      </c>
      <c r="AQ361" s="548" t="str">
        <f t="shared" si="63"/>
        <v/>
      </c>
      <c r="AR361" s="260" t="str">
        <f t="shared" si="64"/>
        <v/>
      </c>
      <c r="AS361" s="260" t="str">
        <f t="shared" si="65"/>
        <v/>
      </c>
    </row>
    <row r="362" spans="41:45" hidden="1">
      <c r="AO362" s="612" t="str">
        <f t="shared" si="66"/>
        <v>blank</v>
      </c>
      <c r="AP362" s="260" t="str">
        <f t="shared" si="67"/>
        <v>blank</v>
      </c>
      <c r="AQ362" s="548" t="str">
        <f t="shared" si="63"/>
        <v/>
      </c>
      <c r="AR362" s="260" t="str">
        <f t="shared" si="64"/>
        <v/>
      </c>
      <c r="AS362" s="260" t="str">
        <f t="shared" si="65"/>
        <v/>
      </c>
    </row>
    <row r="363" spans="41:45" hidden="1">
      <c r="AO363" s="612" t="str">
        <f t="shared" si="66"/>
        <v>blank</v>
      </c>
      <c r="AP363" s="260" t="str">
        <f t="shared" si="67"/>
        <v>blank</v>
      </c>
      <c r="AQ363" s="548" t="str">
        <f t="shared" si="63"/>
        <v/>
      </c>
      <c r="AR363" s="260" t="str">
        <f t="shared" si="64"/>
        <v/>
      </c>
      <c r="AS363" s="260" t="str">
        <f t="shared" si="65"/>
        <v/>
      </c>
    </row>
    <row r="364" spans="41:45" hidden="1">
      <c r="AO364" s="612" t="str">
        <f t="shared" si="66"/>
        <v>blank</v>
      </c>
      <c r="AP364" s="260" t="str">
        <f t="shared" si="67"/>
        <v>blank</v>
      </c>
      <c r="AQ364" s="548" t="str">
        <f t="shared" si="63"/>
        <v/>
      </c>
      <c r="AR364" s="260" t="str">
        <f t="shared" si="64"/>
        <v/>
      </c>
      <c r="AS364" s="260" t="str">
        <f t="shared" si="65"/>
        <v/>
      </c>
    </row>
    <row r="365" spans="41:45" hidden="1">
      <c r="AO365" s="612" t="str">
        <f t="shared" si="66"/>
        <v>blank</v>
      </c>
      <c r="AP365" s="260" t="str">
        <f t="shared" si="67"/>
        <v>blank</v>
      </c>
      <c r="AQ365" s="548" t="str">
        <f t="shared" si="63"/>
        <v/>
      </c>
      <c r="AR365" s="260" t="str">
        <f t="shared" si="64"/>
        <v/>
      </c>
      <c r="AS365" s="260" t="str">
        <f t="shared" si="65"/>
        <v/>
      </c>
    </row>
    <row r="366" spans="41:45" hidden="1">
      <c r="AO366" s="612" t="str">
        <f t="shared" si="66"/>
        <v>blank</v>
      </c>
      <c r="AP366" s="260" t="str">
        <f t="shared" si="67"/>
        <v>blank</v>
      </c>
      <c r="AQ366" s="548" t="str">
        <f t="shared" si="63"/>
        <v/>
      </c>
      <c r="AR366" s="260" t="str">
        <f t="shared" si="64"/>
        <v/>
      </c>
      <c r="AS366" s="260" t="str">
        <f t="shared" si="65"/>
        <v/>
      </c>
    </row>
    <row r="367" spans="41:45" hidden="1">
      <c r="AO367" s="612" t="str">
        <f t="shared" si="66"/>
        <v>blank</v>
      </c>
      <c r="AP367" s="260" t="str">
        <f t="shared" si="67"/>
        <v>blank</v>
      </c>
      <c r="AQ367" s="548" t="str">
        <f t="shared" si="63"/>
        <v/>
      </c>
      <c r="AR367" s="260" t="str">
        <f t="shared" si="64"/>
        <v/>
      </c>
      <c r="AS367" s="260" t="str">
        <f t="shared" si="65"/>
        <v/>
      </c>
    </row>
    <row r="368" spans="41:45" hidden="1">
      <c r="AO368" s="612" t="str">
        <f t="shared" si="66"/>
        <v>blank</v>
      </c>
      <c r="AP368" s="260" t="str">
        <f t="shared" si="67"/>
        <v>blank</v>
      </c>
      <c r="AQ368" s="548" t="str">
        <f t="shared" si="63"/>
        <v/>
      </c>
      <c r="AR368" s="260" t="str">
        <f t="shared" si="64"/>
        <v/>
      </c>
      <c r="AS368" s="260" t="str">
        <f t="shared" si="65"/>
        <v/>
      </c>
    </row>
    <row r="369" spans="41:45" hidden="1">
      <c r="AO369" s="612" t="str">
        <f t="shared" si="66"/>
        <v>blank</v>
      </c>
      <c r="AP369" s="260" t="str">
        <f t="shared" si="67"/>
        <v>blank</v>
      </c>
      <c r="AQ369" s="548" t="str">
        <f t="shared" si="63"/>
        <v/>
      </c>
      <c r="AR369" s="260" t="str">
        <f t="shared" si="64"/>
        <v/>
      </c>
      <c r="AS369" s="260" t="str">
        <f t="shared" si="65"/>
        <v/>
      </c>
    </row>
    <row r="370" spans="41:45" hidden="1">
      <c r="AO370" s="612" t="str">
        <f t="shared" si="66"/>
        <v>blank</v>
      </c>
      <c r="AP370" s="260" t="str">
        <f t="shared" si="67"/>
        <v>blank</v>
      </c>
      <c r="AQ370" s="548" t="str">
        <f t="shared" si="63"/>
        <v/>
      </c>
      <c r="AR370" s="260" t="str">
        <f t="shared" si="64"/>
        <v/>
      </c>
      <c r="AS370" s="260" t="str">
        <f t="shared" si="65"/>
        <v/>
      </c>
    </row>
    <row r="371" spans="41:45" hidden="1">
      <c r="AO371" s="612" t="str">
        <f t="shared" si="66"/>
        <v>blank</v>
      </c>
      <c r="AP371" s="260" t="str">
        <f t="shared" si="67"/>
        <v>blank</v>
      </c>
      <c r="AQ371" s="548" t="str">
        <f t="shared" si="63"/>
        <v/>
      </c>
      <c r="AR371" s="260" t="str">
        <f t="shared" si="64"/>
        <v/>
      </c>
      <c r="AS371" s="260" t="str">
        <f t="shared" si="65"/>
        <v/>
      </c>
    </row>
    <row r="372" spans="41:45" hidden="1">
      <c r="AO372" s="612" t="str">
        <f t="shared" si="66"/>
        <v>blank</v>
      </c>
      <c r="AP372" s="260" t="str">
        <f t="shared" si="67"/>
        <v>blank</v>
      </c>
      <c r="AQ372" s="548" t="str">
        <f t="shared" si="63"/>
        <v/>
      </c>
      <c r="AR372" s="260" t="str">
        <f t="shared" si="64"/>
        <v/>
      </c>
      <c r="AS372" s="260" t="str">
        <f t="shared" si="65"/>
        <v/>
      </c>
    </row>
    <row r="373" spans="41:45" hidden="1">
      <c r="AO373" s="612" t="str">
        <f t="shared" si="66"/>
        <v>blank</v>
      </c>
      <c r="AP373" s="260" t="str">
        <f t="shared" si="67"/>
        <v>blank</v>
      </c>
      <c r="AQ373" s="548" t="str">
        <f t="shared" si="63"/>
        <v/>
      </c>
      <c r="AR373" s="260" t="str">
        <f t="shared" si="64"/>
        <v/>
      </c>
      <c r="AS373" s="260" t="str">
        <f t="shared" si="65"/>
        <v/>
      </c>
    </row>
    <row r="374" spans="41:45" hidden="1">
      <c r="AO374" s="612" t="str">
        <f t="shared" si="66"/>
        <v>blank</v>
      </c>
      <c r="AP374" s="260" t="str">
        <f t="shared" si="67"/>
        <v>blank</v>
      </c>
      <c r="AQ374" s="548" t="str">
        <f t="shared" si="63"/>
        <v/>
      </c>
      <c r="AR374" s="260" t="str">
        <f t="shared" si="64"/>
        <v/>
      </c>
      <c r="AS374" s="260" t="str">
        <f t="shared" si="65"/>
        <v/>
      </c>
    </row>
    <row r="375" spans="41:45" hidden="1">
      <c r="AO375" s="612" t="str">
        <f t="shared" si="66"/>
        <v>blank</v>
      </c>
      <c r="AP375" s="260" t="str">
        <f t="shared" si="67"/>
        <v>blank</v>
      </c>
      <c r="AQ375" s="548" t="str">
        <f t="shared" si="63"/>
        <v/>
      </c>
      <c r="AR375" s="260" t="str">
        <f t="shared" si="64"/>
        <v/>
      </c>
      <c r="AS375" s="260" t="str">
        <f t="shared" si="65"/>
        <v/>
      </c>
    </row>
    <row r="376" spans="41:45" hidden="1">
      <c r="AO376" s="612" t="str">
        <f t="shared" si="66"/>
        <v>blank</v>
      </c>
      <c r="AP376" s="260" t="str">
        <f t="shared" si="67"/>
        <v>blank</v>
      </c>
      <c r="AQ376" s="548" t="str">
        <f t="shared" si="63"/>
        <v/>
      </c>
      <c r="AR376" s="260" t="str">
        <f t="shared" si="64"/>
        <v/>
      </c>
      <c r="AS376" s="260" t="str">
        <f t="shared" si="65"/>
        <v/>
      </c>
    </row>
    <row r="377" spans="41:45" hidden="1">
      <c r="AO377" s="612" t="str">
        <f t="shared" si="66"/>
        <v>blank</v>
      </c>
      <c r="AP377" s="260" t="str">
        <f t="shared" si="67"/>
        <v>blank</v>
      </c>
      <c r="AQ377" s="548" t="str">
        <f t="shared" si="63"/>
        <v/>
      </c>
      <c r="AR377" s="260" t="str">
        <f t="shared" si="64"/>
        <v/>
      </c>
      <c r="AS377" s="260" t="str">
        <f t="shared" si="65"/>
        <v/>
      </c>
    </row>
    <row r="378" spans="41:45" hidden="1">
      <c r="AO378" s="612" t="str">
        <f t="shared" si="66"/>
        <v>blank</v>
      </c>
      <c r="AP378" s="260" t="str">
        <f t="shared" si="67"/>
        <v>blank</v>
      </c>
      <c r="AQ378" s="548" t="str">
        <f t="shared" si="63"/>
        <v/>
      </c>
      <c r="AR378" s="260" t="str">
        <f t="shared" si="64"/>
        <v/>
      </c>
      <c r="AS378" s="260" t="str">
        <f t="shared" si="65"/>
        <v/>
      </c>
    </row>
    <row r="379" spans="41:45" hidden="1">
      <c r="AO379" s="612" t="str">
        <f t="shared" si="66"/>
        <v>blank</v>
      </c>
      <c r="AP379" s="260" t="str">
        <f t="shared" si="67"/>
        <v>blank</v>
      </c>
      <c r="AQ379" s="548" t="str">
        <f t="shared" si="63"/>
        <v/>
      </c>
      <c r="AR379" s="260" t="str">
        <f t="shared" si="64"/>
        <v/>
      </c>
      <c r="AS379" s="260" t="str">
        <f t="shared" si="65"/>
        <v/>
      </c>
    </row>
    <row r="380" spans="41:45" hidden="1">
      <c r="AO380" s="612" t="str">
        <f t="shared" si="66"/>
        <v>blank</v>
      </c>
      <c r="AP380" s="260" t="str">
        <f t="shared" si="67"/>
        <v>blank</v>
      </c>
      <c r="AQ380" s="548" t="str">
        <f t="shared" si="63"/>
        <v/>
      </c>
      <c r="AR380" s="260" t="str">
        <f t="shared" si="64"/>
        <v/>
      </c>
      <c r="AS380" s="260" t="str">
        <f t="shared" si="65"/>
        <v/>
      </c>
    </row>
    <row r="381" spans="41:45" hidden="1">
      <c r="AO381" s="612" t="str">
        <f t="shared" si="66"/>
        <v>blank</v>
      </c>
      <c r="AP381" s="260" t="str">
        <f t="shared" si="67"/>
        <v>blank</v>
      </c>
      <c r="AQ381" s="548" t="str">
        <f t="shared" si="63"/>
        <v/>
      </c>
      <c r="AR381" s="260" t="str">
        <f t="shared" si="64"/>
        <v/>
      </c>
      <c r="AS381" s="260" t="str">
        <f t="shared" si="65"/>
        <v/>
      </c>
    </row>
    <row r="382" spans="41:45" hidden="1">
      <c r="AO382" s="612" t="str">
        <f t="shared" si="66"/>
        <v>blank</v>
      </c>
      <c r="AP382" s="260" t="str">
        <f t="shared" si="67"/>
        <v>blank</v>
      </c>
      <c r="AQ382" s="548" t="str">
        <f t="shared" si="63"/>
        <v/>
      </c>
      <c r="AR382" s="260" t="str">
        <f t="shared" si="64"/>
        <v/>
      </c>
      <c r="AS382" s="260" t="str">
        <f t="shared" si="65"/>
        <v/>
      </c>
    </row>
    <row r="383" spans="41:45" hidden="1">
      <c r="AO383" s="612" t="str">
        <f t="shared" si="66"/>
        <v>blank</v>
      </c>
      <c r="AP383" s="260" t="str">
        <f t="shared" si="67"/>
        <v>blank</v>
      </c>
      <c r="AQ383" s="548" t="str">
        <f t="shared" si="63"/>
        <v/>
      </c>
      <c r="AR383" s="260" t="str">
        <f t="shared" si="64"/>
        <v/>
      </c>
      <c r="AS383" s="260" t="str">
        <f t="shared" si="65"/>
        <v/>
      </c>
    </row>
    <row r="384" spans="41:45" hidden="1">
      <c r="AO384" s="612" t="str">
        <f t="shared" si="66"/>
        <v>blank</v>
      </c>
      <c r="AP384" s="260" t="str">
        <f t="shared" si="67"/>
        <v>blank</v>
      </c>
      <c r="AQ384" s="548" t="str">
        <f t="shared" si="63"/>
        <v/>
      </c>
      <c r="AR384" s="260" t="str">
        <f t="shared" si="64"/>
        <v/>
      </c>
      <c r="AS384" s="260" t="str">
        <f t="shared" si="65"/>
        <v/>
      </c>
    </row>
    <row r="385" spans="41:45" hidden="1">
      <c r="AO385" s="612" t="str">
        <f t="shared" si="66"/>
        <v>blank</v>
      </c>
      <c r="AP385" s="260" t="str">
        <f t="shared" si="67"/>
        <v>blank</v>
      </c>
      <c r="AQ385" s="548" t="str">
        <f t="shared" si="63"/>
        <v/>
      </c>
      <c r="AR385" s="260" t="str">
        <f t="shared" si="64"/>
        <v/>
      </c>
      <c r="AS385" s="260" t="str">
        <f t="shared" si="65"/>
        <v/>
      </c>
    </row>
    <row r="386" spans="41:45" hidden="1">
      <c r="AO386" s="612" t="str">
        <f t="shared" si="66"/>
        <v>blank</v>
      </c>
      <c r="AP386" s="260" t="str">
        <f t="shared" si="67"/>
        <v>blank</v>
      </c>
      <c r="AQ386" s="548" t="str">
        <f t="shared" si="63"/>
        <v/>
      </c>
      <c r="AR386" s="260" t="str">
        <f t="shared" si="64"/>
        <v/>
      </c>
      <c r="AS386" s="260" t="str">
        <f t="shared" si="65"/>
        <v/>
      </c>
    </row>
    <row r="387" spans="41:45" hidden="1">
      <c r="AO387" s="612" t="str">
        <f t="shared" si="66"/>
        <v>blank</v>
      </c>
      <c r="AP387" s="260" t="str">
        <f t="shared" si="67"/>
        <v>blank</v>
      </c>
      <c r="AQ387" s="548" t="str">
        <f t="shared" ref="AQ387:AQ450" si="68">IFERROR(IF(AND(AO387="Yes", AP387&lt;&gt;"blank"), "有定金+客戶送貨期", IF(AND(AO387="Yes", AP387="blank"), "有定金+无客戶送貨期", IF(AND(OR(AO387="No", ISBLANK(AO387), AO387="NA"), AP387&lt;&gt;"blank"), "无定金+有客戶送貨期", IF(AND(OR(AO387="No", ISBLANK(AO387), AO387="NA"), AP387="blank"), "无定金+无客戶送貨期", "")))), "")</f>
        <v/>
      </c>
      <c r="AR387" s="260" t="str">
        <f t="shared" ref="AR387:AR450" si="69">IFERROR(IF(B387="已经到货", "Instock", IF(B387="有交期", "Incoming_Stock_With_YAMAHA_Schedule", IF(B387="TBA.", "Incoming_Stock_No_YAMAHA_Schedule", IF(B387="已发货", "Shipped_Stock", "")))), "")</f>
        <v/>
      </c>
      <c r="AS387" s="260" t="str">
        <f t="shared" ref="AS387:AS450" si="70">IF(AND(B387="有交期", L387&lt;&gt;""), L387, "")</f>
        <v/>
      </c>
    </row>
    <row r="388" spans="41:45" hidden="1">
      <c r="AO388" s="612" t="str">
        <f t="shared" si="66"/>
        <v>blank</v>
      </c>
      <c r="AP388" s="260" t="str">
        <f t="shared" si="67"/>
        <v>blank</v>
      </c>
      <c r="AQ388" s="548" t="str">
        <f t="shared" si="68"/>
        <v/>
      </c>
      <c r="AR388" s="260" t="str">
        <f t="shared" si="69"/>
        <v/>
      </c>
      <c r="AS388" s="260" t="str">
        <f t="shared" si="70"/>
        <v/>
      </c>
    </row>
    <row r="389" spans="41:45" hidden="1">
      <c r="AO389" s="612" t="str">
        <f t="shared" si="66"/>
        <v>blank</v>
      </c>
      <c r="AP389" s="260" t="str">
        <f t="shared" si="67"/>
        <v>blank</v>
      </c>
      <c r="AQ389" s="548" t="str">
        <f t="shared" si="68"/>
        <v/>
      </c>
      <c r="AR389" s="260" t="str">
        <f t="shared" si="69"/>
        <v/>
      </c>
      <c r="AS389" s="260" t="str">
        <f t="shared" si="70"/>
        <v/>
      </c>
    </row>
    <row r="390" spans="41:45" hidden="1">
      <c r="AO390" s="612" t="str">
        <f t="shared" si="66"/>
        <v>blank</v>
      </c>
      <c r="AP390" s="260" t="str">
        <f t="shared" si="67"/>
        <v>blank</v>
      </c>
      <c r="AQ390" s="548" t="str">
        <f t="shared" si="68"/>
        <v/>
      </c>
      <c r="AR390" s="260" t="str">
        <f t="shared" si="69"/>
        <v/>
      </c>
      <c r="AS390" s="260" t="str">
        <f t="shared" si="70"/>
        <v/>
      </c>
    </row>
    <row r="391" spans="41:45" hidden="1">
      <c r="AO391" s="612" t="str">
        <f t="shared" si="66"/>
        <v>blank</v>
      </c>
      <c r="AP391" s="260" t="str">
        <f t="shared" si="67"/>
        <v>blank</v>
      </c>
      <c r="AQ391" s="548" t="str">
        <f t="shared" si="68"/>
        <v/>
      </c>
      <c r="AR391" s="260" t="str">
        <f t="shared" si="69"/>
        <v/>
      </c>
      <c r="AS391" s="260" t="str">
        <f t="shared" si="70"/>
        <v/>
      </c>
    </row>
    <row r="392" spans="41:45" hidden="1">
      <c r="AO392" s="612" t="str">
        <f t="shared" si="66"/>
        <v>blank</v>
      </c>
      <c r="AP392" s="260" t="str">
        <f t="shared" si="67"/>
        <v>blank</v>
      </c>
      <c r="AQ392" s="548" t="str">
        <f t="shared" si="68"/>
        <v/>
      </c>
      <c r="AR392" s="260" t="str">
        <f t="shared" si="69"/>
        <v/>
      </c>
      <c r="AS392" s="260" t="str">
        <f t="shared" si="70"/>
        <v/>
      </c>
    </row>
    <row r="393" spans="41:45" hidden="1">
      <c r="AO393" s="612" t="str">
        <f t="shared" si="66"/>
        <v>blank</v>
      </c>
      <c r="AP393" s="260" t="str">
        <f t="shared" si="67"/>
        <v>blank</v>
      </c>
      <c r="AQ393" s="548" t="str">
        <f t="shared" si="68"/>
        <v/>
      </c>
      <c r="AR393" s="260" t="str">
        <f t="shared" si="69"/>
        <v/>
      </c>
      <c r="AS393" s="260" t="str">
        <f t="shared" si="70"/>
        <v/>
      </c>
    </row>
    <row r="394" spans="41:45" hidden="1">
      <c r="AO394" s="612" t="str">
        <f t="shared" si="66"/>
        <v>blank</v>
      </c>
      <c r="AP394" s="260" t="str">
        <f t="shared" si="67"/>
        <v>blank</v>
      </c>
      <c r="AQ394" s="548" t="str">
        <f t="shared" si="68"/>
        <v/>
      </c>
      <c r="AR394" s="260" t="str">
        <f t="shared" si="69"/>
        <v/>
      </c>
      <c r="AS394" s="260" t="str">
        <f t="shared" si="70"/>
        <v/>
      </c>
    </row>
    <row r="395" spans="41:45" hidden="1">
      <c r="AO395" s="612" t="str">
        <f t="shared" si="66"/>
        <v>blank</v>
      </c>
      <c r="AP395" s="260" t="str">
        <f t="shared" si="67"/>
        <v>blank</v>
      </c>
      <c r="AQ395" s="548" t="str">
        <f t="shared" si="68"/>
        <v/>
      </c>
      <c r="AR395" s="260" t="str">
        <f t="shared" si="69"/>
        <v/>
      </c>
      <c r="AS395" s="260" t="str">
        <f t="shared" si="70"/>
        <v/>
      </c>
    </row>
    <row r="396" spans="41:45" hidden="1">
      <c r="AO396" s="612" t="str">
        <f t="shared" si="66"/>
        <v>blank</v>
      </c>
      <c r="AP396" s="260" t="str">
        <f t="shared" si="67"/>
        <v>blank</v>
      </c>
      <c r="AQ396" s="548" t="str">
        <f t="shared" si="68"/>
        <v/>
      </c>
      <c r="AR396" s="260" t="str">
        <f t="shared" si="69"/>
        <v/>
      </c>
      <c r="AS396" s="260" t="str">
        <f t="shared" si="70"/>
        <v/>
      </c>
    </row>
    <row r="397" spans="41:45" hidden="1">
      <c r="AO397" s="612" t="str">
        <f t="shared" si="66"/>
        <v>blank</v>
      </c>
      <c r="AP397" s="260" t="str">
        <f t="shared" si="67"/>
        <v>blank</v>
      </c>
      <c r="AQ397" s="548" t="str">
        <f t="shared" si="68"/>
        <v/>
      </c>
      <c r="AR397" s="260" t="str">
        <f t="shared" si="69"/>
        <v/>
      </c>
      <c r="AS397" s="260" t="str">
        <f t="shared" si="70"/>
        <v/>
      </c>
    </row>
    <row r="398" spans="41:45" hidden="1">
      <c r="AO398" s="612" t="str">
        <f t="shared" si="66"/>
        <v>blank</v>
      </c>
      <c r="AP398" s="260" t="str">
        <f t="shared" si="67"/>
        <v>blank</v>
      </c>
      <c r="AQ398" s="548" t="str">
        <f t="shared" si="68"/>
        <v/>
      </c>
      <c r="AR398" s="260" t="str">
        <f t="shared" si="69"/>
        <v/>
      </c>
      <c r="AS398" s="260" t="str">
        <f t="shared" si="70"/>
        <v/>
      </c>
    </row>
    <row r="399" spans="41:45" hidden="1">
      <c r="AO399" s="612" t="str">
        <f t="shared" si="66"/>
        <v>blank</v>
      </c>
      <c r="AP399" s="260" t="str">
        <f t="shared" si="67"/>
        <v>blank</v>
      </c>
      <c r="AQ399" s="548" t="str">
        <f t="shared" si="68"/>
        <v/>
      </c>
      <c r="AR399" s="260" t="str">
        <f t="shared" si="69"/>
        <v/>
      </c>
      <c r="AS399" s="260" t="str">
        <f t="shared" si="70"/>
        <v/>
      </c>
    </row>
    <row r="400" spans="41:45" hidden="1">
      <c r="AO400" s="612" t="str">
        <f t="shared" si="66"/>
        <v>blank</v>
      </c>
      <c r="AP400" s="260" t="str">
        <f t="shared" si="67"/>
        <v>blank</v>
      </c>
      <c r="AQ400" s="548" t="str">
        <f t="shared" si="68"/>
        <v/>
      </c>
      <c r="AR400" s="260" t="str">
        <f t="shared" si="69"/>
        <v/>
      </c>
      <c r="AS400" s="260" t="str">
        <f t="shared" si="70"/>
        <v/>
      </c>
    </row>
    <row r="401" spans="41:45" hidden="1">
      <c r="AO401" s="612" t="str">
        <f t="shared" si="66"/>
        <v>blank</v>
      </c>
      <c r="AP401" s="260" t="str">
        <f t="shared" si="67"/>
        <v>blank</v>
      </c>
      <c r="AQ401" s="548" t="str">
        <f t="shared" si="68"/>
        <v/>
      </c>
      <c r="AR401" s="260" t="str">
        <f t="shared" si="69"/>
        <v/>
      </c>
      <c r="AS401" s="260" t="str">
        <f t="shared" si="70"/>
        <v/>
      </c>
    </row>
    <row r="402" spans="41:45" hidden="1">
      <c r="AO402" s="612" t="str">
        <f t="shared" si="66"/>
        <v>blank</v>
      </c>
      <c r="AP402" s="260" t="str">
        <f t="shared" si="67"/>
        <v>blank</v>
      </c>
      <c r="AQ402" s="548" t="str">
        <f t="shared" si="68"/>
        <v/>
      </c>
      <c r="AR402" s="260" t="str">
        <f t="shared" si="69"/>
        <v/>
      </c>
      <c r="AS402" s="260" t="str">
        <f t="shared" si="70"/>
        <v/>
      </c>
    </row>
    <row r="403" spans="41:45" hidden="1">
      <c r="AO403" s="612" t="str">
        <f t="shared" si="66"/>
        <v>blank</v>
      </c>
      <c r="AP403" s="260" t="str">
        <f t="shared" si="67"/>
        <v>blank</v>
      </c>
      <c r="AQ403" s="548" t="str">
        <f t="shared" si="68"/>
        <v/>
      </c>
      <c r="AR403" s="260" t="str">
        <f t="shared" si="69"/>
        <v/>
      </c>
      <c r="AS403" s="260" t="str">
        <f t="shared" si="70"/>
        <v/>
      </c>
    </row>
    <row r="404" spans="41:45" hidden="1">
      <c r="AO404" s="612" t="str">
        <f t="shared" si="66"/>
        <v>blank</v>
      </c>
      <c r="AP404" s="260" t="str">
        <f t="shared" si="67"/>
        <v>blank</v>
      </c>
      <c r="AQ404" s="548" t="str">
        <f t="shared" si="68"/>
        <v/>
      </c>
      <c r="AR404" s="260" t="str">
        <f t="shared" si="69"/>
        <v/>
      </c>
      <c r="AS404" s="260" t="str">
        <f t="shared" si="70"/>
        <v/>
      </c>
    </row>
    <row r="405" spans="41:45" hidden="1">
      <c r="AO405" s="612" t="str">
        <f t="shared" si="66"/>
        <v>blank</v>
      </c>
      <c r="AP405" s="260" t="str">
        <f t="shared" si="67"/>
        <v>blank</v>
      </c>
      <c r="AQ405" s="548" t="str">
        <f t="shared" si="68"/>
        <v/>
      </c>
      <c r="AR405" s="260" t="str">
        <f t="shared" si="69"/>
        <v/>
      </c>
      <c r="AS405" s="260" t="str">
        <f t="shared" si="70"/>
        <v/>
      </c>
    </row>
    <row r="406" spans="41:45" hidden="1">
      <c r="AO406" s="612" t="str">
        <f t="shared" ref="AO406:AO469" si="71">IFERROR(IF(Y406&lt;&gt;"",Y406,"blank"),"NA")</f>
        <v>blank</v>
      </c>
      <c r="AP406" s="260" t="str">
        <f t="shared" ref="AP406:AP469" si="72">IFERROR(IF(N406&lt;&gt;"",N406,"blank"),"NA")</f>
        <v>blank</v>
      </c>
      <c r="AQ406" s="548" t="str">
        <f t="shared" si="68"/>
        <v/>
      </c>
      <c r="AR406" s="260" t="str">
        <f t="shared" si="69"/>
        <v/>
      </c>
      <c r="AS406" s="260" t="str">
        <f t="shared" si="70"/>
        <v/>
      </c>
    </row>
    <row r="407" spans="41:45" hidden="1">
      <c r="AO407" s="612" t="str">
        <f t="shared" si="71"/>
        <v>blank</v>
      </c>
      <c r="AP407" s="260" t="str">
        <f t="shared" si="72"/>
        <v>blank</v>
      </c>
      <c r="AQ407" s="548" t="str">
        <f t="shared" si="68"/>
        <v/>
      </c>
      <c r="AR407" s="260" t="str">
        <f t="shared" si="69"/>
        <v/>
      </c>
      <c r="AS407" s="260" t="str">
        <f t="shared" si="70"/>
        <v/>
      </c>
    </row>
    <row r="408" spans="41:45" hidden="1">
      <c r="AO408" s="612" t="str">
        <f t="shared" si="71"/>
        <v>blank</v>
      </c>
      <c r="AP408" s="260" t="str">
        <f t="shared" si="72"/>
        <v>blank</v>
      </c>
      <c r="AQ408" s="548" t="str">
        <f t="shared" si="68"/>
        <v/>
      </c>
      <c r="AR408" s="260" t="str">
        <f t="shared" si="69"/>
        <v/>
      </c>
      <c r="AS408" s="260" t="str">
        <f t="shared" si="70"/>
        <v/>
      </c>
    </row>
    <row r="409" spans="41:45" hidden="1">
      <c r="AO409" s="612" t="str">
        <f t="shared" si="71"/>
        <v>blank</v>
      </c>
      <c r="AP409" s="260" t="str">
        <f t="shared" si="72"/>
        <v>blank</v>
      </c>
      <c r="AQ409" s="548" t="str">
        <f t="shared" si="68"/>
        <v/>
      </c>
      <c r="AR409" s="260" t="str">
        <f t="shared" si="69"/>
        <v/>
      </c>
      <c r="AS409" s="260" t="str">
        <f t="shared" si="70"/>
        <v/>
      </c>
    </row>
    <row r="410" spans="41:45" hidden="1">
      <c r="AO410" s="612" t="str">
        <f t="shared" si="71"/>
        <v>blank</v>
      </c>
      <c r="AP410" s="260" t="str">
        <f t="shared" si="72"/>
        <v>blank</v>
      </c>
      <c r="AQ410" s="548" t="str">
        <f t="shared" si="68"/>
        <v/>
      </c>
      <c r="AR410" s="260" t="str">
        <f t="shared" si="69"/>
        <v/>
      </c>
      <c r="AS410" s="260" t="str">
        <f t="shared" si="70"/>
        <v/>
      </c>
    </row>
    <row r="411" spans="41:45" hidden="1">
      <c r="AO411" s="612" t="str">
        <f t="shared" si="71"/>
        <v>blank</v>
      </c>
      <c r="AP411" s="260" t="str">
        <f t="shared" si="72"/>
        <v>blank</v>
      </c>
      <c r="AQ411" s="548" t="str">
        <f t="shared" si="68"/>
        <v/>
      </c>
      <c r="AR411" s="260" t="str">
        <f t="shared" si="69"/>
        <v/>
      </c>
      <c r="AS411" s="260" t="str">
        <f t="shared" si="70"/>
        <v/>
      </c>
    </row>
    <row r="412" spans="41:45" hidden="1">
      <c r="AO412" s="612" t="str">
        <f t="shared" si="71"/>
        <v>blank</v>
      </c>
      <c r="AP412" s="260" t="str">
        <f t="shared" si="72"/>
        <v>blank</v>
      </c>
      <c r="AQ412" s="548" t="str">
        <f t="shared" si="68"/>
        <v/>
      </c>
      <c r="AR412" s="260" t="str">
        <f t="shared" si="69"/>
        <v/>
      </c>
      <c r="AS412" s="260" t="str">
        <f t="shared" si="70"/>
        <v/>
      </c>
    </row>
    <row r="413" spans="41:45" hidden="1">
      <c r="AO413" s="612" t="str">
        <f t="shared" si="71"/>
        <v>blank</v>
      </c>
      <c r="AP413" s="260" t="str">
        <f t="shared" si="72"/>
        <v>blank</v>
      </c>
      <c r="AQ413" s="548" t="str">
        <f t="shared" si="68"/>
        <v/>
      </c>
      <c r="AR413" s="260" t="str">
        <f t="shared" si="69"/>
        <v/>
      </c>
      <c r="AS413" s="260" t="str">
        <f t="shared" si="70"/>
        <v/>
      </c>
    </row>
    <row r="414" spans="41:45" hidden="1">
      <c r="AO414" s="612" t="str">
        <f t="shared" si="71"/>
        <v>blank</v>
      </c>
      <c r="AP414" s="260" t="str">
        <f t="shared" si="72"/>
        <v>blank</v>
      </c>
      <c r="AQ414" s="548" t="str">
        <f t="shared" si="68"/>
        <v/>
      </c>
      <c r="AR414" s="260" t="str">
        <f t="shared" si="69"/>
        <v/>
      </c>
      <c r="AS414" s="260" t="str">
        <f t="shared" si="70"/>
        <v/>
      </c>
    </row>
    <row r="415" spans="41:45" hidden="1">
      <c r="AO415" s="612" t="str">
        <f t="shared" si="71"/>
        <v>blank</v>
      </c>
      <c r="AP415" s="260" t="str">
        <f t="shared" si="72"/>
        <v>blank</v>
      </c>
      <c r="AQ415" s="548" t="str">
        <f t="shared" si="68"/>
        <v/>
      </c>
      <c r="AR415" s="260" t="str">
        <f t="shared" si="69"/>
        <v/>
      </c>
      <c r="AS415" s="260" t="str">
        <f t="shared" si="70"/>
        <v/>
      </c>
    </row>
    <row r="416" spans="41:45" hidden="1">
      <c r="AO416" s="612" t="str">
        <f t="shared" si="71"/>
        <v>blank</v>
      </c>
      <c r="AP416" s="260" t="str">
        <f t="shared" si="72"/>
        <v>blank</v>
      </c>
      <c r="AQ416" s="548" t="str">
        <f t="shared" si="68"/>
        <v/>
      </c>
      <c r="AR416" s="260" t="str">
        <f t="shared" si="69"/>
        <v/>
      </c>
      <c r="AS416" s="260" t="str">
        <f t="shared" si="70"/>
        <v/>
      </c>
    </row>
    <row r="417" spans="41:45" hidden="1">
      <c r="AO417" s="612" t="str">
        <f t="shared" si="71"/>
        <v>blank</v>
      </c>
      <c r="AP417" s="260" t="str">
        <f t="shared" si="72"/>
        <v>blank</v>
      </c>
      <c r="AQ417" s="548" t="str">
        <f t="shared" si="68"/>
        <v/>
      </c>
      <c r="AR417" s="260" t="str">
        <f t="shared" si="69"/>
        <v/>
      </c>
      <c r="AS417" s="260" t="str">
        <f t="shared" si="70"/>
        <v/>
      </c>
    </row>
    <row r="418" spans="41:45" hidden="1">
      <c r="AO418" s="612" t="str">
        <f t="shared" si="71"/>
        <v>blank</v>
      </c>
      <c r="AP418" s="260" t="str">
        <f t="shared" si="72"/>
        <v>blank</v>
      </c>
      <c r="AQ418" s="548" t="str">
        <f t="shared" si="68"/>
        <v/>
      </c>
      <c r="AR418" s="260" t="str">
        <f t="shared" si="69"/>
        <v/>
      </c>
      <c r="AS418" s="260" t="str">
        <f t="shared" si="70"/>
        <v/>
      </c>
    </row>
    <row r="419" spans="41:45" hidden="1">
      <c r="AO419" s="612" t="str">
        <f t="shared" si="71"/>
        <v>blank</v>
      </c>
      <c r="AP419" s="260" t="str">
        <f t="shared" si="72"/>
        <v>blank</v>
      </c>
      <c r="AQ419" s="548" t="str">
        <f t="shared" si="68"/>
        <v/>
      </c>
      <c r="AR419" s="260" t="str">
        <f t="shared" si="69"/>
        <v/>
      </c>
      <c r="AS419" s="260" t="str">
        <f t="shared" si="70"/>
        <v/>
      </c>
    </row>
    <row r="420" spans="41:45" hidden="1">
      <c r="AO420" s="612" t="str">
        <f t="shared" si="71"/>
        <v>blank</v>
      </c>
      <c r="AP420" s="260" t="str">
        <f t="shared" si="72"/>
        <v>blank</v>
      </c>
      <c r="AQ420" s="548" t="str">
        <f t="shared" si="68"/>
        <v/>
      </c>
      <c r="AR420" s="260" t="str">
        <f t="shared" si="69"/>
        <v/>
      </c>
      <c r="AS420" s="260" t="str">
        <f t="shared" si="70"/>
        <v/>
      </c>
    </row>
    <row r="421" spans="41:45" hidden="1">
      <c r="AO421" s="612" t="str">
        <f t="shared" si="71"/>
        <v>blank</v>
      </c>
      <c r="AP421" s="260" t="str">
        <f t="shared" si="72"/>
        <v>blank</v>
      </c>
      <c r="AQ421" s="548" t="str">
        <f t="shared" si="68"/>
        <v/>
      </c>
      <c r="AR421" s="260" t="str">
        <f t="shared" si="69"/>
        <v/>
      </c>
      <c r="AS421" s="260" t="str">
        <f t="shared" si="70"/>
        <v/>
      </c>
    </row>
    <row r="422" spans="41:45" hidden="1">
      <c r="AO422" s="612" t="str">
        <f t="shared" si="71"/>
        <v>blank</v>
      </c>
      <c r="AP422" s="260" t="str">
        <f t="shared" si="72"/>
        <v>blank</v>
      </c>
      <c r="AQ422" s="548" t="str">
        <f t="shared" si="68"/>
        <v/>
      </c>
      <c r="AR422" s="260" t="str">
        <f t="shared" si="69"/>
        <v/>
      </c>
      <c r="AS422" s="260" t="str">
        <f t="shared" si="70"/>
        <v/>
      </c>
    </row>
    <row r="423" spans="41:45" hidden="1">
      <c r="AO423" s="612" t="str">
        <f t="shared" si="71"/>
        <v>blank</v>
      </c>
      <c r="AP423" s="260" t="str">
        <f t="shared" si="72"/>
        <v>blank</v>
      </c>
      <c r="AQ423" s="548" t="str">
        <f t="shared" si="68"/>
        <v/>
      </c>
      <c r="AR423" s="260" t="str">
        <f t="shared" si="69"/>
        <v/>
      </c>
      <c r="AS423" s="260" t="str">
        <f t="shared" si="70"/>
        <v/>
      </c>
    </row>
    <row r="424" spans="41:45" hidden="1">
      <c r="AO424" s="612" t="str">
        <f t="shared" si="71"/>
        <v>blank</v>
      </c>
      <c r="AP424" s="260" t="str">
        <f t="shared" si="72"/>
        <v>blank</v>
      </c>
      <c r="AQ424" s="548" t="str">
        <f t="shared" si="68"/>
        <v/>
      </c>
      <c r="AR424" s="260" t="str">
        <f t="shared" si="69"/>
        <v/>
      </c>
      <c r="AS424" s="260" t="str">
        <f t="shared" si="70"/>
        <v/>
      </c>
    </row>
    <row r="425" spans="41:45" hidden="1">
      <c r="AO425" s="612" t="str">
        <f t="shared" si="71"/>
        <v>blank</v>
      </c>
      <c r="AP425" s="260" t="str">
        <f t="shared" si="72"/>
        <v>blank</v>
      </c>
      <c r="AQ425" s="548" t="str">
        <f t="shared" si="68"/>
        <v/>
      </c>
      <c r="AR425" s="260" t="str">
        <f t="shared" si="69"/>
        <v/>
      </c>
      <c r="AS425" s="260" t="str">
        <f t="shared" si="70"/>
        <v/>
      </c>
    </row>
    <row r="426" spans="41:45" hidden="1">
      <c r="AO426" s="612" t="str">
        <f t="shared" si="71"/>
        <v>blank</v>
      </c>
      <c r="AP426" s="260" t="str">
        <f t="shared" si="72"/>
        <v>blank</v>
      </c>
      <c r="AQ426" s="548" t="str">
        <f t="shared" si="68"/>
        <v/>
      </c>
      <c r="AR426" s="260" t="str">
        <f t="shared" si="69"/>
        <v/>
      </c>
      <c r="AS426" s="260" t="str">
        <f t="shared" si="70"/>
        <v/>
      </c>
    </row>
    <row r="427" spans="41:45" hidden="1">
      <c r="AO427" s="612" t="str">
        <f t="shared" si="71"/>
        <v>blank</v>
      </c>
      <c r="AP427" s="260" t="str">
        <f t="shared" si="72"/>
        <v>blank</v>
      </c>
      <c r="AQ427" s="548" t="str">
        <f t="shared" si="68"/>
        <v/>
      </c>
      <c r="AR427" s="260" t="str">
        <f t="shared" si="69"/>
        <v/>
      </c>
      <c r="AS427" s="260" t="str">
        <f t="shared" si="70"/>
        <v/>
      </c>
    </row>
    <row r="428" spans="41:45" hidden="1">
      <c r="AO428" s="612" t="str">
        <f t="shared" si="71"/>
        <v>blank</v>
      </c>
      <c r="AP428" s="260" t="str">
        <f t="shared" si="72"/>
        <v>blank</v>
      </c>
      <c r="AQ428" s="548" t="str">
        <f t="shared" si="68"/>
        <v/>
      </c>
      <c r="AR428" s="260" t="str">
        <f t="shared" si="69"/>
        <v/>
      </c>
      <c r="AS428" s="260" t="str">
        <f t="shared" si="70"/>
        <v/>
      </c>
    </row>
    <row r="429" spans="41:45" hidden="1">
      <c r="AO429" s="612" t="str">
        <f t="shared" si="71"/>
        <v>blank</v>
      </c>
      <c r="AP429" s="260" t="str">
        <f t="shared" si="72"/>
        <v>blank</v>
      </c>
      <c r="AQ429" s="548" t="str">
        <f t="shared" si="68"/>
        <v/>
      </c>
      <c r="AR429" s="260" t="str">
        <f t="shared" si="69"/>
        <v/>
      </c>
      <c r="AS429" s="260" t="str">
        <f t="shared" si="70"/>
        <v/>
      </c>
    </row>
    <row r="430" spans="41:45" hidden="1">
      <c r="AO430" s="612" t="str">
        <f t="shared" si="71"/>
        <v>blank</v>
      </c>
      <c r="AP430" s="260" t="str">
        <f t="shared" si="72"/>
        <v>blank</v>
      </c>
      <c r="AQ430" s="548" t="str">
        <f t="shared" si="68"/>
        <v/>
      </c>
      <c r="AR430" s="260" t="str">
        <f t="shared" si="69"/>
        <v/>
      </c>
      <c r="AS430" s="260" t="str">
        <f t="shared" si="70"/>
        <v/>
      </c>
    </row>
    <row r="431" spans="41:45" hidden="1">
      <c r="AO431" s="612" t="str">
        <f t="shared" si="71"/>
        <v>blank</v>
      </c>
      <c r="AP431" s="260" t="str">
        <f t="shared" si="72"/>
        <v>blank</v>
      </c>
      <c r="AQ431" s="548" t="str">
        <f t="shared" si="68"/>
        <v/>
      </c>
      <c r="AR431" s="260" t="str">
        <f t="shared" si="69"/>
        <v/>
      </c>
      <c r="AS431" s="260" t="str">
        <f t="shared" si="70"/>
        <v/>
      </c>
    </row>
    <row r="432" spans="41:45" hidden="1">
      <c r="AO432" s="612" t="str">
        <f t="shared" si="71"/>
        <v>blank</v>
      </c>
      <c r="AP432" s="260" t="str">
        <f t="shared" si="72"/>
        <v>blank</v>
      </c>
      <c r="AQ432" s="548" t="str">
        <f t="shared" si="68"/>
        <v/>
      </c>
      <c r="AR432" s="260" t="str">
        <f t="shared" si="69"/>
        <v/>
      </c>
      <c r="AS432" s="260" t="str">
        <f t="shared" si="70"/>
        <v/>
      </c>
    </row>
    <row r="433" spans="41:45" hidden="1">
      <c r="AO433" s="612" t="str">
        <f t="shared" si="71"/>
        <v>blank</v>
      </c>
      <c r="AP433" s="260" t="str">
        <f t="shared" si="72"/>
        <v>blank</v>
      </c>
      <c r="AQ433" s="548" t="str">
        <f t="shared" si="68"/>
        <v/>
      </c>
      <c r="AR433" s="260" t="str">
        <f t="shared" si="69"/>
        <v/>
      </c>
      <c r="AS433" s="260" t="str">
        <f t="shared" si="70"/>
        <v/>
      </c>
    </row>
    <row r="434" spans="41:45" hidden="1">
      <c r="AO434" s="612" t="str">
        <f t="shared" si="71"/>
        <v>blank</v>
      </c>
      <c r="AP434" s="260" t="str">
        <f t="shared" si="72"/>
        <v>blank</v>
      </c>
      <c r="AQ434" s="548" t="str">
        <f t="shared" si="68"/>
        <v/>
      </c>
      <c r="AR434" s="260" t="str">
        <f t="shared" si="69"/>
        <v/>
      </c>
      <c r="AS434" s="260" t="str">
        <f t="shared" si="70"/>
        <v/>
      </c>
    </row>
    <row r="435" spans="41:45" hidden="1">
      <c r="AO435" s="612" t="str">
        <f t="shared" si="71"/>
        <v>blank</v>
      </c>
      <c r="AP435" s="260" t="str">
        <f t="shared" si="72"/>
        <v>blank</v>
      </c>
      <c r="AQ435" s="548" t="str">
        <f t="shared" si="68"/>
        <v/>
      </c>
      <c r="AR435" s="260" t="str">
        <f t="shared" si="69"/>
        <v/>
      </c>
      <c r="AS435" s="260" t="str">
        <f t="shared" si="70"/>
        <v/>
      </c>
    </row>
    <row r="436" spans="41:45" hidden="1">
      <c r="AO436" s="612" t="str">
        <f t="shared" si="71"/>
        <v>blank</v>
      </c>
      <c r="AP436" s="260" t="str">
        <f t="shared" si="72"/>
        <v>blank</v>
      </c>
      <c r="AQ436" s="548" t="str">
        <f t="shared" si="68"/>
        <v/>
      </c>
      <c r="AR436" s="260" t="str">
        <f t="shared" si="69"/>
        <v/>
      </c>
      <c r="AS436" s="260" t="str">
        <f t="shared" si="70"/>
        <v/>
      </c>
    </row>
    <row r="437" spans="41:45" hidden="1">
      <c r="AO437" s="612" t="str">
        <f t="shared" si="71"/>
        <v>blank</v>
      </c>
      <c r="AP437" s="260" t="str">
        <f t="shared" si="72"/>
        <v>blank</v>
      </c>
      <c r="AQ437" s="548" t="str">
        <f t="shared" si="68"/>
        <v/>
      </c>
      <c r="AR437" s="260" t="str">
        <f t="shared" si="69"/>
        <v/>
      </c>
      <c r="AS437" s="260" t="str">
        <f t="shared" si="70"/>
        <v/>
      </c>
    </row>
    <row r="438" spans="41:45" hidden="1">
      <c r="AO438" s="612" t="str">
        <f t="shared" si="71"/>
        <v>blank</v>
      </c>
      <c r="AP438" s="260" t="str">
        <f t="shared" si="72"/>
        <v>blank</v>
      </c>
      <c r="AQ438" s="548" t="str">
        <f t="shared" si="68"/>
        <v/>
      </c>
      <c r="AR438" s="260" t="str">
        <f t="shared" si="69"/>
        <v/>
      </c>
      <c r="AS438" s="260" t="str">
        <f t="shared" si="70"/>
        <v/>
      </c>
    </row>
    <row r="439" spans="41:45" hidden="1">
      <c r="AO439" s="612" t="str">
        <f t="shared" si="71"/>
        <v>blank</v>
      </c>
      <c r="AP439" s="260" t="str">
        <f t="shared" si="72"/>
        <v>blank</v>
      </c>
      <c r="AQ439" s="548" t="str">
        <f t="shared" si="68"/>
        <v/>
      </c>
      <c r="AR439" s="260" t="str">
        <f t="shared" si="69"/>
        <v/>
      </c>
      <c r="AS439" s="260" t="str">
        <f t="shared" si="70"/>
        <v/>
      </c>
    </row>
    <row r="440" spans="41:45" hidden="1">
      <c r="AO440" s="612" t="str">
        <f t="shared" si="71"/>
        <v>blank</v>
      </c>
      <c r="AP440" s="260" t="str">
        <f t="shared" si="72"/>
        <v>blank</v>
      </c>
      <c r="AQ440" s="548" t="str">
        <f t="shared" si="68"/>
        <v/>
      </c>
      <c r="AR440" s="260" t="str">
        <f t="shared" si="69"/>
        <v/>
      </c>
      <c r="AS440" s="260" t="str">
        <f t="shared" si="70"/>
        <v/>
      </c>
    </row>
    <row r="441" spans="41:45" hidden="1">
      <c r="AO441" s="612" t="str">
        <f t="shared" si="71"/>
        <v>blank</v>
      </c>
      <c r="AP441" s="260" t="str">
        <f t="shared" si="72"/>
        <v>blank</v>
      </c>
      <c r="AQ441" s="548" t="str">
        <f t="shared" si="68"/>
        <v/>
      </c>
      <c r="AR441" s="260" t="str">
        <f t="shared" si="69"/>
        <v/>
      </c>
      <c r="AS441" s="260" t="str">
        <f t="shared" si="70"/>
        <v/>
      </c>
    </row>
    <row r="442" spans="41:45" hidden="1">
      <c r="AO442" s="612" t="str">
        <f t="shared" si="71"/>
        <v>blank</v>
      </c>
      <c r="AP442" s="260" t="str">
        <f t="shared" si="72"/>
        <v>blank</v>
      </c>
      <c r="AQ442" s="548" t="str">
        <f t="shared" si="68"/>
        <v/>
      </c>
      <c r="AR442" s="260" t="str">
        <f t="shared" si="69"/>
        <v/>
      </c>
      <c r="AS442" s="260" t="str">
        <f t="shared" si="70"/>
        <v/>
      </c>
    </row>
    <row r="443" spans="41:45" hidden="1">
      <c r="AO443" s="612" t="str">
        <f t="shared" si="71"/>
        <v>blank</v>
      </c>
      <c r="AP443" s="260" t="str">
        <f t="shared" si="72"/>
        <v>blank</v>
      </c>
      <c r="AQ443" s="548" t="str">
        <f t="shared" si="68"/>
        <v/>
      </c>
      <c r="AR443" s="260" t="str">
        <f t="shared" si="69"/>
        <v/>
      </c>
      <c r="AS443" s="260" t="str">
        <f t="shared" si="70"/>
        <v/>
      </c>
    </row>
    <row r="444" spans="41:45" hidden="1">
      <c r="AO444" s="612" t="str">
        <f t="shared" si="71"/>
        <v>blank</v>
      </c>
      <c r="AP444" s="260" t="str">
        <f t="shared" si="72"/>
        <v>blank</v>
      </c>
      <c r="AQ444" s="548" t="str">
        <f t="shared" si="68"/>
        <v/>
      </c>
      <c r="AR444" s="260" t="str">
        <f t="shared" si="69"/>
        <v/>
      </c>
      <c r="AS444" s="260" t="str">
        <f t="shared" si="70"/>
        <v/>
      </c>
    </row>
    <row r="445" spans="41:45" hidden="1">
      <c r="AO445" s="612" t="str">
        <f t="shared" si="71"/>
        <v>blank</v>
      </c>
      <c r="AP445" s="260" t="str">
        <f t="shared" si="72"/>
        <v>blank</v>
      </c>
      <c r="AQ445" s="548" t="str">
        <f t="shared" si="68"/>
        <v/>
      </c>
      <c r="AR445" s="260" t="str">
        <f t="shared" si="69"/>
        <v/>
      </c>
      <c r="AS445" s="260" t="str">
        <f t="shared" si="70"/>
        <v/>
      </c>
    </row>
    <row r="446" spans="41:45" hidden="1">
      <c r="AO446" s="612" t="str">
        <f t="shared" si="71"/>
        <v>blank</v>
      </c>
      <c r="AP446" s="260" t="str">
        <f t="shared" si="72"/>
        <v>blank</v>
      </c>
      <c r="AQ446" s="548" t="str">
        <f t="shared" si="68"/>
        <v/>
      </c>
      <c r="AR446" s="260" t="str">
        <f t="shared" si="69"/>
        <v/>
      </c>
      <c r="AS446" s="260" t="str">
        <f t="shared" si="70"/>
        <v/>
      </c>
    </row>
    <row r="447" spans="41:45" hidden="1">
      <c r="AO447" s="612" t="str">
        <f t="shared" si="71"/>
        <v>blank</v>
      </c>
      <c r="AP447" s="260" t="str">
        <f t="shared" si="72"/>
        <v>blank</v>
      </c>
      <c r="AQ447" s="548" t="str">
        <f t="shared" si="68"/>
        <v/>
      </c>
      <c r="AR447" s="260" t="str">
        <f t="shared" si="69"/>
        <v/>
      </c>
      <c r="AS447" s="260" t="str">
        <f t="shared" si="70"/>
        <v/>
      </c>
    </row>
    <row r="448" spans="41:45" hidden="1">
      <c r="AO448" s="612" t="str">
        <f t="shared" si="71"/>
        <v>blank</v>
      </c>
      <c r="AP448" s="260" t="str">
        <f t="shared" si="72"/>
        <v>blank</v>
      </c>
      <c r="AQ448" s="548" t="str">
        <f t="shared" si="68"/>
        <v/>
      </c>
      <c r="AR448" s="260" t="str">
        <f t="shared" si="69"/>
        <v/>
      </c>
      <c r="AS448" s="260" t="str">
        <f t="shared" si="70"/>
        <v/>
      </c>
    </row>
    <row r="449" spans="41:45" hidden="1">
      <c r="AO449" s="612" t="str">
        <f t="shared" si="71"/>
        <v>blank</v>
      </c>
      <c r="AP449" s="260" t="str">
        <f t="shared" si="72"/>
        <v>blank</v>
      </c>
      <c r="AQ449" s="548" t="str">
        <f t="shared" si="68"/>
        <v/>
      </c>
      <c r="AR449" s="260" t="str">
        <f t="shared" si="69"/>
        <v/>
      </c>
      <c r="AS449" s="260" t="str">
        <f t="shared" si="70"/>
        <v/>
      </c>
    </row>
    <row r="450" spans="41:45" hidden="1">
      <c r="AO450" s="612" t="str">
        <f t="shared" si="71"/>
        <v>blank</v>
      </c>
      <c r="AP450" s="260" t="str">
        <f t="shared" si="72"/>
        <v>blank</v>
      </c>
      <c r="AQ450" s="548" t="str">
        <f t="shared" si="68"/>
        <v/>
      </c>
      <c r="AR450" s="260" t="str">
        <f t="shared" si="69"/>
        <v/>
      </c>
      <c r="AS450" s="260" t="str">
        <f t="shared" si="70"/>
        <v/>
      </c>
    </row>
    <row r="451" spans="41:45" hidden="1">
      <c r="AO451" s="612" t="str">
        <f t="shared" si="71"/>
        <v>blank</v>
      </c>
      <c r="AP451" s="260" t="str">
        <f t="shared" si="72"/>
        <v>blank</v>
      </c>
      <c r="AQ451" s="548" t="str">
        <f t="shared" ref="AQ451:AQ514" si="73">IFERROR(IF(AND(AO451="Yes", AP451&lt;&gt;"blank"), "有定金+客戶送貨期", IF(AND(AO451="Yes", AP451="blank"), "有定金+无客戶送貨期", IF(AND(OR(AO451="No", ISBLANK(AO451), AO451="NA"), AP451&lt;&gt;"blank"), "无定金+有客戶送貨期", IF(AND(OR(AO451="No", ISBLANK(AO451), AO451="NA"), AP451="blank"), "无定金+无客戶送貨期", "")))), "")</f>
        <v/>
      </c>
      <c r="AR451" s="260" t="str">
        <f t="shared" ref="AR451:AR514" si="74">IFERROR(IF(B451="已经到货", "Instock", IF(B451="有交期", "Incoming_Stock_With_YAMAHA_Schedule", IF(B451="TBA.", "Incoming_Stock_No_YAMAHA_Schedule", IF(B451="已发货", "Shipped_Stock", "")))), "")</f>
        <v/>
      </c>
      <c r="AS451" s="260" t="str">
        <f t="shared" ref="AS451:AS514" si="75">IF(AND(B451="有交期", L451&lt;&gt;""), L451, "")</f>
        <v/>
      </c>
    </row>
    <row r="452" spans="41:45" hidden="1">
      <c r="AO452" s="612" t="str">
        <f t="shared" si="71"/>
        <v>blank</v>
      </c>
      <c r="AP452" s="260" t="str">
        <f t="shared" si="72"/>
        <v>blank</v>
      </c>
      <c r="AQ452" s="548" t="str">
        <f t="shared" si="73"/>
        <v/>
      </c>
      <c r="AR452" s="260" t="str">
        <f t="shared" si="74"/>
        <v/>
      </c>
      <c r="AS452" s="260" t="str">
        <f t="shared" si="75"/>
        <v/>
      </c>
    </row>
    <row r="453" spans="41:45" hidden="1">
      <c r="AO453" s="612" t="str">
        <f t="shared" si="71"/>
        <v>blank</v>
      </c>
      <c r="AP453" s="260" t="str">
        <f t="shared" si="72"/>
        <v>blank</v>
      </c>
      <c r="AQ453" s="548" t="str">
        <f t="shared" si="73"/>
        <v/>
      </c>
      <c r="AR453" s="260" t="str">
        <f t="shared" si="74"/>
        <v/>
      </c>
      <c r="AS453" s="260" t="str">
        <f t="shared" si="75"/>
        <v/>
      </c>
    </row>
    <row r="454" spans="41:45" hidden="1">
      <c r="AO454" s="612" t="str">
        <f t="shared" si="71"/>
        <v>blank</v>
      </c>
      <c r="AP454" s="260" t="str">
        <f t="shared" si="72"/>
        <v>blank</v>
      </c>
      <c r="AQ454" s="548" t="str">
        <f t="shared" si="73"/>
        <v/>
      </c>
      <c r="AR454" s="260" t="str">
        <f t="shared" si="74"/>
        <v/>
      </c>
      <c r="AS454" s="260" t="str">
        <f t="shared" si="75"/>
        <v/>
      </c>
    </row>
    <row r="455" spans="41:45" hidden="1">
      <c r="AO455" s="612" t="str">
        <f t="shared" si="71"/>
        <v>blank</v>
      </c>
      <c r="AP455" s="260" t="str">
        <f t="shared" si="72"/>
        <v>blank</v>
      </c>
      <c r="AQ455" s="548" t="str">
        <f t="shared" si="73"/>
        <v/>
      </c>
      <c r="AR455" s="260" t="str">
        <f t="shared" si="74"/>
        <v/>
      </c>
      <c r="AS455" s="260" t="str">
        <f t="shared" si="75"/>
        <v/>
      </c>
    </row>
    <row r="456" spans="41:45" hidden="1">
      <c r="AO456" s="612" t="str">
        <f t="shared" si="71"/>
        <v>blank</v>
      </c>
      <c r="AP456" s="260" t="str">
        <f t="shared" si="72"/>
        <v>blank</v>
      </c>
      <c r="AQ456" s="548" t="str">
        <f t="shared" si="73"/>
        <v/>
      </c>
      <c r="AR456" s="260" t="str">
        <f t="shared" si="74"/>
        <v/>
      </c>
      <c r="AS456" s="260" t="str">
        <f t="shared" si="75"/>
        <v/>
      </c>
    </row>
    <row r="457" spans="41:45" hidden="1">
      <c r="AO457" s="612" t="str">
        <f t="shared" si="71"/>
        <v>blank</v>
      </c>
      <c r="AP457" s="260" t="str">
        <f t="shared" si="72"/>
        <v>blank</v>
      </c>
      <c r="AQ457" s="548" t="str">
        <f t="shared" si="73"/>
        <v/>
      </c>
      <c r="AR457" s="260" t="str">
        <f t="shared" si="74"/>
        <v/>
      </c>
      <c r="AS457" s="260" t="str">
        <f t="shared" si="75"/>
        <v/>
      </c>
    </row>
    <row r="458" spans="41:45" hidden="1">
      <c r="AO458" s="612" t="str">
        <f t="shared" si="71"/>
        <v>blank</v>
      </c>
      <c r="AP458" s="260" t="str">
        <f t="shared" si="72"/>
        <v>blank</v>
      </c>
      <c r="AQ458" s="548" t="str">
        <f t="shared" si="73"/>
        <v/>
      </c>
      <c r="AR458" s="260" t="str">
        <f t="shared" si="74"/>
        <v/>
      </c>
      <c r="AS458" s="260" t="str">
        <f t="shared" si="75"/>
        <v/>
      </c>
    </row>
    <row r="459" spans="41:45" hidden="1">
      <c r="AO459" s="612" t="str">
        <f t="shared" si="71"/>
        <v>blank</v>
      </c>
      <c r="AP459" s="260" t="str">
        <f t="shared" si="72"/>
        <v>blank</v>
      </c>
      <c r="AQ459" s="548" t="str">
        <f t="shared" si="73"/>
        <v/>
      </c>
      <c r="AR459" s="260" t="str">
        <f t="shared" si="74"/>
        <v/>
      </c>
      <c r="AS459" s="260" t="str">
        <f t="shared" si="75"/>
        <v/>
      </c>
    </row>
    <row r="460" spans="41:45" hidden="1">
      <c r="AO460" s="612" t="str">
        <f t="shared" si="71"/>
        <v>blank</v>
      </c>
      <c r="AP460" s="260" t="str">
        <f t="shared" si="72"/>
        <v>blank</v>
      </c>
      <c r="AQ460" s="548" t="str">
        <f t="shared" si="73"/>
        <v/>
      </c>
      <c r="AR460" s="260" t="str">
        <f t="shared" si="74"/>
        <v/>
      </c>
      <c r="AS460" s="260" t="str">
        <f t="shared" si="75"/>
        <v/>
      </c>
    </row>
    <row r="461" spans="41:45" hidden="1">
      <c r="AO461" s="612" t="str">
        <f t="shared" si="71"/>
        <v>blank</v>
      </c>
      <c r="AP461" s="260" t="str">
        <f t="shared" si="72"/>
        <v>blank</v>
      </c>
      <c r="AQ461" s="548" t="str">
        <f t="shared" si="73"/>
        <v/>
      </c>
      <c r="AR461" s="260" t="str">
        <f t="shared" si="74"/>
        <v/>
      </c>
      <c r="AS461" s="260" t="str">
        <f t="shared" si="75"/>
        <v/>
      </c>
    </row>
    <row r="462" spans="41:45" hidden="1">
      <c r="AO462" s="612" t="str">
        <f t="shared" si="71"/>
        <v>blank</v>
      </c>
      <c r="AP462" s="260" t="str">
        <f t="shared" si="72"/>
        <v>blank</v>
      </c>
      <c r="AQ462" s="548" t="str">
        <f t="shared" si="73"/>
        <v/>
      </c>
      <c r="AR462" s="260" t="str">
        <f t="shared" si="74"/>
        <v/>
      </c>
      <c r="AS462" s="260" t="str">
        <f t="shared" si="75"/>
        <v/>
      </c>
    </row>
    <row r="463" spans="41:45" hidden="1">
      <c r="AO463" s="612" t="str">
        <f t="shared" si="71"/>
        <v>blank</v>
      </c>
      <c r="AP463" s="260" t="str">
        <f t="shared" si="72"/>
        <v>blank</v>
      </c>
      <c r="AQ463" s="548" t="str">
        <f t="shared" si="73"/>
        <v/>
      </c>
      <c r="AR463" s="260" t="str">
        <f t="shared" si="74"/>
        <v/>
      </c>
      <c r="AS463" s="260" t="str">
        <f t="shared" si="75"/>
        <v/>
      </c>
    </row>
    <row r="464" spans="41:45" hidden="1">
      <c r="AO464" s="612" t="str">
        <f t="shared" si="71"/>
        <v>blank</v>
      </c>
      <c r="AP464" s="260" t="str">
        <f t="shared" si="72"/>
        <v>blank</v>
      </c>
      <c r="AQ464" s="548" t="str">
        <f t="shared" si="73"/>
        <v/>
      </c>
      <c r="AR464" s="260" t="str">
        <f t="shared" si="74"/>
        <v/>
      </c>
      <c r="AS464" s="260" t="str">
        <f t="shared" si="75"/>
        <v/>
      </c>
    </row>
    <row r="465" spans="41:45" hidden="1">
      <c r="AO465" s="612" t="str">
        <f t="shared" si="71"/>
        <v>blank</v>
      </c>
      <c r="AP465" s="260" t="str">
        <f t="shared" si="72"/>
        <v>blank</v>
      </c>
      <c r="AQ465" s="548" t="str">
        <f t="shared" si="73"/>
        <v/>
      </c>
      <c r="AR465" s="260" t="str">
        <f t="shared" si="74"/>
        <v/>
      </c>
      <c r="AS465" s="260" t="str">
        <f t="shared" si="75"/>
        <v/>
      </c>
    </row>
    <row r="466" spans="41:45" hidden="1">
      <c r="AO466" s="612" t="str">
        <f t="shared" si="71"/>
        <v>blank</v>
      </c>
      <c r="AP466" s="260" t="str">
        <f t="shared" si="72"/>
        <v>blank</v>
      </c>
      <c r="AQ466" s="548" t="str">
        <f t="shared" si="73"/>
        <v/>
      </c>
      <c r="AR466" s="260" t="str">
        <f t="shared" si="74"/>
        <v/>
      </c>
      <c r="AS466" s="260" t="str">
        <f t="shared" si="75"/>
        <v/>
      </c>
    </row>
    <row r="467" spans="41:45" hidden="1">
      <c r="AO467" s="612" t="str">
        <f t="shared" si="71"/>
        <v>blank</v>
      </c>
      <c r="AP467" s="260" t="str">
        <f t="shared" si="72"/>
        <v>blank</v>
      </c>
      <c r="AQ467" s="548" t="str">
        <f t="shared" si="73"/>
        <v/>
      </c>
      <c r="AR467" s="260" t="str">
        <f t="shared" si="74"/>
        <v/>
      </c>
      <c r="AS467" s="260" t="str">
        <f t="shared" si="75"/>
        <v/>
      </c>
    </row>
    <row r="468" spans="41:45" hidden="1">
      <c r="AO468" s="612" t="str">
        <f t="shared" si="71"/>
        <v>blank</v>
      </c>
      <c r="AP468" s="260" t="str">
        <f t="shared" si="72"/>
        <v>blank</v>
      </c>
      <c r="AQ468" s="548" t="str">
        <f t="shared" si="73"/>
        <v/>
      </c>
      <c r="AR468" s="260" t="str">
        <f t="shared" si="74"/>
        <v/>
      </c>
      <c r="AS468" s="260" t="str">
        <f t="shared" si="75"/>
        <v/>
      </c>
    </row>
    <row r="469" spans="41:45" hidden="1">
      <c r="AO469" s="612" t="str">
        <f t="shared" si="71"/>
        <v>blank</v>
      </c>
      <c r="AP469" s="260" t="str">
        <f t="shared" si="72"/>
        <v>blank</v>
      </c>
      <c r="AQ469" s="548" t="str">
        <f t="shared" si="73"/>
        <v/>
      </c>
      <c r="AR469" s="260" t="str">
        <f t="shared" si="74"/>
        <v/>
      </c>
      <c r="AS469" s="260" t="str">
        <f t="shared" si="75"/>
        <v/>
      </c>
    </row>
    <row r="470" spans="41:45" hidden="1">
      <c r="AO470" s="612" t="str">
        <f t="shared" ref="AO470:AO533" si="76">IFERROR(IF(Y470&lt;&gt;"",Y470,"blank"),"NA")</f>
        <v>blank</v>
      </c>
      <c r="AP470" s="260" t="str">
        <f t="shared" ref="AP470:AP533" si="77">IFERROR(IF(N470&lt;&gt;"",N470,"blank"),"NA")</f>
        <v>blank</v>
      </c>
      <c r="AQ470" s="548" t="str">
        <f t="shared" si="73"/>
        <v/>
      </c>
      <c r="AR470" s="260" t="str">
        <f t="shared" si="74"/>
        <v/>
      </c>
      <c r="AS470" s="260" t="str">
        <f t="shared" si="75"/>
        <v/>
      </c>
    </row>
    <row r="471" spans="41:45" hidden="1">
      <c r="AO471" s="612" t="str">
        <f t="shared" si="76"/>
        <v>blank</v>
      </c>
      <c r="AP471" s="260" t="str">
        <f t="shared" si="77"/>
        <v>blank</v>
      </c>
      <c r="AQ471" s="548" t="str">
        <f t="shared" si="73"/>
        <v/>
      </c>
      <c r="AR471" s="260" t="str">
        <f t="shared" si="74"/>
        <v/>
      </c>
      <c r="AS471" s="260" t="str">
        <f t="shared" si="75"/>
        <v/>
      </c>
    </row>
    <row r="472" spans="41:45" hidden="1">
      <c r="AO472" s="612" t="str">
        <f t="shared" si="76"/>
        <v>blank</v>
      </c>
      <c r="AP472" s="260" t="str">
        <f t="shared" si="77"/>
        <v>blank</v>
      </c>
      <c r="AQ472" s="548" t="str">
        <f t="shared" si="73"/>
        <v/>
      </c>
      <c r="AR472" s="260" t="str">
        <f t="shared" si="74"/>
        <v/>
      </c>
      <c r="AS472" s="260" t="str">
        <f t="shared" si="75"/>
        <v/>
      </c>
    </row>
    <row r="473" spans="41:45" hidden="1">
      <c r="AO473" s="612" t="str">
        <f t="shared" si="76"/>
        <v>blank</v>
      </c>
      <c r="AP473" s="260" t="str">
        <f t="shared" si="77"/>
        <v>blank</v>
      </c>
      <c r="AQ473" s="548" t="str">
        <f t="shared" si="73"/>
        <v/>
      </c>
      <c r="AR473" s="260" t="str">
        <f t="shared" si="74"/>
        <v/>
      </c>
      <c r="AS473" s="260" t="str">
        <f t="shared" si="75"/>
        <v/>
      </c>
    </row>
    <row r="474" spans="41:45" hidden="1">
      <c r="AO474" s="612" t="str">
        <f t="shared" si="76"/>
        <v>blank</v>
      </c>
      <c r="AP474" s="260" t="str">
        <f t="shared" si="77"/>
        <v>blank</v>
      </c>
      <c r="AQ474" s="548" t="str">
        <f t="shared" si="73"/>
        <v/>
      </c>
      <c r="AR474" s="260" t="str">
        <f t="shared" si="74"/>
        <v/>
      </c>
      <c r="AS474" s="260" t="str">
        <f t="shared" si="75"/>
        <v/>
      </c>
    </row>
    <row r="475" spans="41:45" hidden="1">
      <c r="AO475" s="612" t="str">
        <f t="shared" si="76"/>
        <v>blank</v>
      </c>
      <c r="AP475" s="260" t="str">
        <f t="shared" si="77"/>
        <v>blank</v>
      </c>
      <c r="AQ475" s="548" t="str">
        <f t="shared" si="73"/>
        <v/>
      </c>
      <c r="AR475" s="260" t="str">
        <f t="shared" si="74"/>
        <v/>
      </c>
      <c r="AS475" s="260" t="str">
        <f t="shared" si="75"/>
        <v/>
      </c>
    </row>
    <row r="476" spans="41:45" hidden="1">
      <c r="AO476" s="612" t="str">
        <f t="shared" si="76"/>
        <v>blank</v>
      </c>
      <c r="AP476" s="260" t="str">
        <f t="shared" si="77"/>
        <v>blank</v>
      </c>
      <c r="AQ476" s="548" t="str">
        <f t="shared" si="73"/>
        <v/>
      </c>
      <c r="AR476" s="260" t="str">
        <f t="shared" si="74"/>
        <v/>
      </c>
      <c r="AS476" s="260" t="str">
        <f t="shared" si="75"/>
        <v/>
      </c>
    </row>
    <row r="477" spans="41:45" hidden="1">
      <c r="AO477" s="612" t="str">
        <f t="shared" si="76"/>
        <v>blank</v>
      </c>
      <c r="AP477" s="260" t="str">
        <f t="shared" si="77"/>
        <v>blank</v>
      </c>
      <c r="AQ477" s="548" t="str">
        <f t="shared" si="73"/>
        <v/>
      </c>
      <c r="AR477" s="260" t="str">
        <f t="shared" si="74"/>
        <v/>
      </c>
      <c r="AS477" s="260" t="str">
        <f t="shared" si="75"/>
        <v/>
      </c>
    </row>
    <row r="478" spans="41:45" hidden="1">
      <c r="AO478" s="612" t="str">
        <f t="shared" si="76"/>
        <v>blank</v>
      </c>
      <c r="AP478" s="260" t="str">
        <f t="shared" si="77"/>
        <v>blank</v>
      </c>
      <c r="AQ478" s="548" t="str">
        <f t="shared" si="73"/>
        <v/>
      </c>
      <c r="AR478" s="260" t="str">
        <f t="shared" si="74"/>
        <v/>
      </c>
      <c r="AS478" s="260" t="str">
        <f t="shared" si="75"/>
        <v/>
      </c>
    </row>
    <row r="479" spans="41:45" hidden="1">
      <c r="AO479" s="612" t="str">
        <f t="shared" si="76"/>
        <v>blank</v>
      </c>
      <c r="AP479" s="260" t="str">
        <f t="shared" si="77"/>
        <v>blank</v>
      </c>
      <c r="AQ479" s="548" t="str">
        <f t="shared" si="73"/>
        <v/>
      </c>
      <c r="AR479" s="260" t="str">
        <f t="shared" si="74"/>
        <v/>
      </c>
      <c r="AS479" s="260" t="str">
        <f t="shared" si="75"/>
        <v/>
      </c>
    </row>
    <row r="480" spans="41:45" hidden="1">
      <c r="AO480" s="612" t="str">
        <f t="shared" si="76"/>
        <v>blank</v>
      </c>
      <c r="AP480" s="260" t="str">
        <f t="shared" si="77"/>
        <v>blank</v>
      </c>
      <c r="AQ480" s="548" t="str">
        <f t="shared" si="73"/>
        <v/>
      </c>
      <c r="AR480" s="260" t="str">
        <f t="shared" si="74"/>
        <v/>
      </c>
      <c r="AS480" s="260" t="str">
        <f t="shared" si="75"/>
        <v/>
      </c>
    </row>
    <row r="481" spans="41:45" hidden="1">
      <c r="AO481" s="612" t="str">
        <f t="shared" si="76"/>
        <v>blank</v>
      </c>
      <c r="AP481" s="260" t="str">
        <f t="shared" si="77"/>
        <v>blank</v>
      </c>
      <c r="AQ481" s="548" t="str">
        <f t="shared" si="73"/>
        <v/>
      </c>
      <c r="AR481" s="260" t="str">
        <f t="shared" si="74"/>
        <v/>
      </c>
      <c r="AS481" s="260" t="str">
        <f t="shared" si="75"/>
        <v/>
      </c>
    </row>
    <row r="482" spans="41:45" hidden="1">
      <c r="AO482" s="612" t="str">
        <f t="shared" si="76"/>
        <v>blank</v>
      </c>
      <c r="AP482" s="260" t="str">
        <f t="shared" si="77"/>
        <v>blank</v>
      </c>
      <c r="AQ482" s="548" t="str">
        <f t="shared" si="73"/>
        <v/>
      </c>
      <c r="AR482" s="260" t="str">
        <f t="shared" si="74"/>
        <v/>
      </c>
      <c r="AS482" s="260" t="str">
        <f t="shared" si="75"/>
        <v/>
      </c>
    </row>
    <row r="483" spans="41:45" hidden="1">
      <c r="AO483" s="612" t="str">
        <f t="shared" si="76"/>
        <v>blank</v>
      </c>
      <c r="AP483" s="260" t="str">
        <f t="shared" si="77"/>
        <v>blank</v>
      </c>
      <c r="AQ483" s="548" t="str">
        <f t="shared" si="73"/>
        <v/>
      </c>
      <c r="AR483" s="260" t="str">
        <f t="shared" si="74"/>
        <v/>
      </c>
      <c r="AS483" s="260" t="str">
        <f t="shared" si="75"/>
        <v/>
      </c>
    </row>
    <row r="484" spans="41:45" hidden="1">
      <c r="AO484" s="612" t="str">
        <f t="shared" si="76"/>
        <v>blank</v>
      </c>
      <c r="AP484" s="260" t="str">
        <f t="shared" si="77"/>
        <v>blank</v>
      </c>
      <c r="AQ484" s="548" t="str">
        <f t="shared" si="73"/>
        <v/>
      </c>
      <c r="AR484" s="260" t="str">
        <f t="shared" si="74"/>
        <v/>
      </c>
      <c r="AS484" s="260" t="str">
        <f t="shared" si="75"/>
        <v/>
      </c>
    </row>
    <row r="485" spans="41:45" hidden="1">
      <c r="AO485" s="612" t="str">
        <f t="shared" si="76"/>
        <v>blank</v>
      </c>
      <c r="AP485" s="260" t="str">
        <f t="shared" si="77"/>
        <v>blank</v>
      </c>
      <c r="AQ485" s="548" t="str">
        <f t="shared" si="73"/>
        <v/>
      </c>
      <c r="AR485" s="260" t="str">
        <f t="shared" si="74"/>
        <v/>
      </c>
      <c r="AS485" s="260" t="str">
        <f t="shared" si="75"/>
        <v/>
      </c>
    </row>
    <row r="486" spans="41:45" hidden="1">
      <c r="AO486" s="612" t="str">
        <f t="shared" si="76"/>
        <v>blank</v>
      </c>
      <c r="AP486" s="260" t="str">
        <f t="shared" si="77"/>
        <v>blank</v>
      </c>
      <c r="AQ486" s="548" t="str">
        <f t="shared" si="73"/>
        <v/>
      </c>
      <c r="AR486" s="260" t="str">
        <f t="shared" si="74"/>
        <v/>
      </c>
      <c r="AS486" s="260" t="str">
        <f t="shared" si="75"/>
        <v/>
      </c>
    </row>
    <row r="487" spans="41:45" hidden="1">
      <c r="AO487" s="612" t="str">
        <f t="shared" si="76"/>
        <v>blank</v>
      </c>
      <c r="AP487" s="260" t="str">
        <f t="shared" si="77"/>
        <v>blank</v>
      </c>
      <c r="AQ487" s="548" t="str">
        <f t="shared" si="73"/>
        <v/>
      </c>
      <c r="AR487" s="260" t="str">
        <f t="shared" si="74"/>
        <v/>
      </c>
      <c r="AS487" s="260" t="str">
        <f t="shared" si="75"/>
        <v/>
      </c>
    </row>
    <row r="488" spans="41:45" hidden="1">
      <c r="AO488" s="612" t="str">
        <f t="shared" si="76"/>
        <v>blank</v>
      </c>
      <c r="AP488" s="260" t="str">
        <f t="shared" si="77"/>
        <v>blank</v>
      </c>
      <c r="AQ488" s="548" t="str">
        <f t="shared" si="73"/>
        <v/>
      </c>
      <c r="AR488" s="260" t="str">
        <f t="shared" si="74"/>
        <v/>
      </c>
      <c r="AS488" s="260" t="str">
        <f t="shared" si="75"/>
        <v/>
      </c>
    </row>
    <row r="489" spans="41:45" hidden="1">
      <c r="AO489" s="612" t="str">
        <f t="shared" si="76"/>
        <v>blank</v>
      </c>
      <c r="AP489" s="260" t="str">
        <f t="shared" si="77"/>
        <v>blank</v>
      </c>
      <c r="AQ489" s="548" t="str">
        <f t="shared" si="73"/>
        <v/>
      </c>
      <c r="AR489" s="260" t="str">
        <f t="shared" si="74"/>
        <v/>
      </c>
      <c r="AS489" s="260" t="str">
        <f t="shared" si="75"/>
        <v/>
      </c>
    </row>
    <row r="490" spans="41:45" hidden="1">
      <c r="AO490" s="612" t="str">
        <f t="shared" si="76"/>
        <v>blank</v>
      </c>
      <c r="AP490" s="260" t="str">
        <f t="shared" si="77"/>
        <v>blank</v>
      </c>
      <c r="AQ490" s="548" t="str">
        <f t="shared" si="73"/>
        <v/>
      </c>
      <c r="AR490" s="260" t="str">
        <f t="shared" si="74"/>
        <v/>
      </c>
      <c r="AS490" s="260" t="str">
        <f t="shared" si="75"/>
        <v/>
      </c>
    </row>
    <row r="491" spans="41:45" hidden="1">
      <c r="AO491" s="612" t="str">
        <f t="shared" si="76"/>
        <v>blank</v>
      </c>
      <c r="AP491" s="260" t="str">
        <f t="shared" si="77"/>
        <v>blank</v>
      </c>
      <c r="AQ491" s="548" t="str">
        <f t="shared" si="73"/>
        <v/>
      </c>
      <c r="AR491" s="260" t="str">
        <f t="shared" si="74"/>
        <v/>
      </c>
      <c r="AS491" s="260" t="str">
        <f t="shared" si="75"/>
        <v/>
      </c>
    </row>
    <row r="492" spans="41:45" hidden="1">
      <c r="AO492" s="612" t="str">
        <f t="shared" si="76"/>
        <v>blank</v>
      </c>
      <c r="AP492" s="260" t="str">
        <f t="shared" si="77"/>
        <v>blank</v>
      </c>
      <c r="AQ492" s="548" t="str">
        <f t="shared" si="73"/>
        <v/>
      </c>
      <c r="AR492" s="260" t="str">
        <f t="shared" si="74"/>
        <v/>
      </c>
      <c r="AS492" s="260" t="str">
        <f t="shared" si="75"/>
        <v/>
      </c>
    </row>
    <row r="493" spans="41:45" hidden="1">
      <c r="AO493" s="612" t="str">
        <f t="shared" si="76"/>
        <v>blank</v>
      </c>
      <c r="AP493" s="260" t="str">
        <f t="shared" si="77"/>
        <v>blank</v>
      </c>
      <c r="AQ493" s="548" t="str">
        <f t="shared" si="73"/>
        <v/>
      </c>
      <c r="AR493" s="260" t="str">
        <f t="shared" si="74"/>
        <v/>
      </c>
      <c r="AS493" s="260" t="str">
        <f t="shared" si="75"/>
        <v/>
      </c>
    </row>
    <row r="494" spans="41:45" hidden="1">
      <c r="AO494" s="612" t="str">
        <f t="shared" si="76"/>
        <v>blank</v>
      </c>
      <c r="AP494" s="260" t="str">
        <f t="shared" si="77"/>
        <v>blank</v>
      </c>
      <c r="AQ494" s="548" t="str">
        <f t="shared" si="73"/>
        <v/>
      </c>
      <c r="AR494" s="260" t="str">
        <f t="shared" si="74"/>
        <v/>
      </c>
      <c r="AS494" s="260" t="str">
        <f t="shared" si="75"/>
        <v/>
      </c>
    </row>
    <row r="495" spans="41:45" hidden="1">
      <c r="AO495" s="612" t="str">
        <f t="shared" si="76"/>
        <v>blank</v>
      </c>
      <c r="AP495" s="260" t="str">
        <f t="shared" si="77"/>
        <v>blank</v>
      </c>
      <c r="AQ495" s="548" t="str">
        <f t="shared" si="73"/>
        <v/>
      </c>
      <c r="AR495" s="260" t="str">
        <f t="shared" si="74"/>
        <v/>
      </c>
      <c r="AS495" s="260" t="str">
        <f t="shared" si="75"/>
        <v/>
      </c>
    </row>
    <row r="496" spans="41:45" hidden="1">
      <c r="AO496" s="612" t="str">
        <f t="shared" si="76"/>
        <v>blank</v>
      </c>
      <c r="AP496" s="260" t="str">
        <f t="shared" si="77"/>
        <v>blank</v>
      </c>
      <c r="AQ496" s="548" t="str">
        <f t="shared" si="73"/>
        <v/>
      </c>
      <c r="AR496" s="260" t="str">
        <f t="shared" si="74"/>
        <v/>
      </c>
      <c r="AS496" s="260" t="str">
        <f t="shared" si="75"/>
        <v/>
      </c>
    </row>
    <row r="497" spans="41:45" hidden="1">
      <c r="AO497" s="612" t="str">
        <f t="shared" si="76"/>
        <v>blank</v>
      </c>
      <c r="AP497" s="260" t="str">
        <f t="shared" si="77"/>
        <v>blank</v>
      </c>
      <c r="AQ497" s="548" t="str">
        <f t="shared" si="73"/>
        <v/>
      </c>
      <c r="AR497" s="260" t="str">
        <f t="shared" si="74"/>
        <v/>
      </c>
      <c r="AS497" s="260" t="str">
        <f t="shared" si="75"/>
        <v/>
      </c>
    </row>
    <row r="498" spans="41:45" hidden="1">
      <c r="AO498" s="612" t="str">
        <f t="shared" si="76"/>
        <v>blank</v>
      </c>
      <c r="AP498" s="260" t="str">
        <f t="shared" si="77"/>
        <v>blank</v>
      </c>
      <c r="AQ498" s="548" t="str">
        <f t="shared" si="73"/>
        <v/>
      </c>
      <c r="AR498" s="260" t="str">
        <f t="shared" si="74"/>
        <v/>
      </c>
      <c r="AS498" s="260" t="str">
        <f t="shared" si="75"/>
        <v/>
      </c>
    </row>
    <row r="499" spans="41:45" hidden="1">
      <c r="AO499" s="612" t="str">
        <f t="shared" si="76"/>
        <v>blank</v>
      </c>
      <c r="AP499" s="260" t="str">
        <f t="shared" si="77"/>
        <v>blank</v>
      </c>
      <c r="AQ499" s="548" t="str">
        <f t="shared" si="73"/>
        <v/>
      </c>
      <c r="AR499" s="260" t="str">
        <f t="shared" si="74"/>
        <v/>
      </c>
      <c r="AS499" s="260" t="str">
        <f t="shared" si="75"/>
        <v/>
      </c>
    </row>
    <row r="500" spans="41:45" hidden="1">
      <c r="AO500" s="612" t="str">
        <f t="shared" si="76"/>
        <v>blank</v>
      </c>
      <c r="AP500" s="260" t="str">
        <f t="shared" si="77"/>
        <v>blank</v>
      </c>
      <c r="AQ500" s="548" t="str">
        <f t="shared" si="73"/>
        <v/>
      </c>
      <c r="AR500" s="260" t="str">
        <f t="shared" si="74"/>
        <v/>
      </c>
      <c r="AS500" s="260" t="str">
        <f t="shared" si="75"/>
        <v/>
      </c>
    </row>
    <row r="501" spans="41:45" hidden="1">
      <c r="AO501" s="612" t="str">
        <f t="shared" si="76"/>
        <v>blank</v>
      </c>
      <c r="AP501" s="260" t="str">
        <f t="shared" si="77"/>
        <v>blank</v>
      </c>
      <c r="AQ501" s="548" t="str">
        <f t="shared" si="73"/>
        <v/>
      </c>
      <c r="AR501" s="260" t="str">
        <f t="shared" si="74"/>
        <v/>
      </c>
      <c r="AS501" s="260" t="str">
        <f t="shared" si="75"/>
        <v/>
      </c>
    </row>
    <row r="502" spans="41:45" hidden="1">
      <c r="AO502" s="612" t="str">
        <f t="shared" si="76"/>
        <v>blank</v>
      </c>
      <c r="AP502" s="260" t="str">
        <f t="shared" si="77"/>
        <v>blank</v>
      </c>
      <c r="AQ502" s="548" t="str">
        <f t="shared" si="73"/>
        <v/>
      </c>
      <c r="AR502" s="260" t="str">
        <f t="shared" si="74"/>
        <v/>
      </c>
      <c r="AS502" s="260" t="str">
        <f t="shared" si="75"/>
        <v/>
      </c>
    </row>
    <row r="503" spans="41:45" hidden="1">
      <c r="AO503" s="612" t="str">
        <f t="shared" si="76"/>
        <v>blank</v>
      </c>
      <c r="AP503" s="260" t="str">
        <f t="shared" si="77"/>
        <v>blank</v>
      </c>
      <c r="AQ503" s="548" t="str">
        <f t="shared" si="73"/>
        <v/>
      </c>
      <c r="AR503" s="260" t="str">
        <f t="shared" si="74"/>
        <v/>
      </c>
      <c r="AS503" s="260" t="str">
        <f t="shared" si="75"/>
        <v/>
      </c>
    </row>
    <row r="504" spans="41:45" hidden="1">
      <c r="AO504" s="612" t="str">
        <f t="shared" si="76"/>
        <v>blank</v>
      </c>
      <c r="AP504" s="260" t="str">
        <f t="shared" si="77"/>
        <v>blank</v>
      </c>
      <c r="AQ504" s="548" t="str">
        <f t="shared" si="73"/>
        <v/>
      </c>
      <c r="AR504" s="260" t="str">
        <f t="shared" si="74"/>
        <v/>
      </c>
      <c r="AS504" s="260" t="str">
        <f t="shared" si="75"/>
        <v/>
      </c>
    </row>
    <row r="505" spans="41:45" hidden="1">
      <c r="AO505" s="612" t="str">
        <f t="shared" si="76"/>
        <v>blank</v>
      </c>
      <c r="AP505" s="260" t="str">
        <f t="shared" si="77"/>
        <v>blank</v>
      </c>
      <c r="AQ505" s="548" t="str">
        <f t="shared" si="73"/>
        <v/>
      </c>
      <c r="AR505" s="260" t="str">
        <f t="shared" si="74"/>
        <v/>
      </c>
      <c r="AS505" s="260" t="str">
        <f t="shared" si="75"/>
        <v/>
      </c>
    </row>
    <row r="506" spans="41:45" hidden="1">
      <c r="AO506" s="612" t="str">
        <f t="shared" si="76"/>
        <v>blank</v>
      </c>
      <c r="AP506" s="260" t="str">
        <f t="shared" si="77"/>
        <v>blank</v>
      </c>
      <c r="AQ506" s="548" t="str">
        <f t="shared" si="73"/>
        <v/>
      </c>
      <c r="AR506" s="260" t="str">
        <f t="shared" si="74"/>
        <v/>
      </c>
      <c r="AS506" s="260" t="str">
        <f t="shared" si="75"/>
        <v/>
      </c>
    </row>
    <row r="507" spans="41:45" hidden="1">
      <c r="AO507" s="612" t="str">
        <f t="shared" si="76"/>
        <v>blank</v>
      </c>
      <c r="AP507" s="260" t="str">
        <f t="shared" si="77"/>
        <v>blank</v>
      </c>
      <c r="AQ507" s="548" t="str">
        <f t="shared" si="73"/>
        <v/>
      </c>
      <c r="AR507" s="260" t="str">
        <f t="shared" si="74"/>
        <v/>
      </c>
      <c r="AS507" s="260" t="str">
        <f t="shared" si="75"/>
        <v/>
      </c>
    </row>
    <row r="508" spans="41:45" hidden="1">
      <c r="AO508" s="612" t="str">
        <f t="shared" si="76"/>
        <v>blank</v>
      </c>
      <c r="AP508" s="260" t="str">
        <f t="shared" si="77"/>
        <v>blank</v>
      </c>
      <c r="AQ508" s="548" t="str">
        <f t="shared" si="73"/>
        <v/>
      </c>
      <c r="AR508" s="260" t="str">
        <f t="shared" si="74"/>
        <v/>
      </c>
      <c r="AS508" s="260" t="str">
        <f t="shared" si="75"/>
        <v/>
      </c>
    </row>
    <row r="509" spans="41:45" hidden="1">
      <c r="AO509" s="612" t="str">
        <f t="shared" si="76"/>
        <v>blank</v>
      </c>
      <c r="AP509" s="260" t="str">
        <f t="shared" si="77"/>
        <v>blank</v>
      </c>
      <c r="AQ509" s="548" t="str">
        <f t="shared" si="73"/>
        <v/>
      </c>
      <c r="AR509" s="260" t="str">
        <f t="shared" si="74"/>
        <v/>
      </c>
      <c r="AS509" s="260" t="str">
        <f t="shared" si="75"/>
        <v/>
      </c>
    </row>
    <row r="510" spans="41:45" hidden="1">
      <c r="AO510" s="612" t="str">
        <f t="shared" si="76"/>
        <v>blank</v>
      </c>
      <c r="AP510" s="260" t="str">
        <f t="shared" si="77"/>
        <v>blank</v>
      </c>
      <c r="AQ510" s="548" t="str">
        <f t="shared" si="73"/>
        <v/>
      </c>
      <c r="AR510" s="260" t="str">
        <f t="shared" si="74"/>
        <v/>
      </c>
      <c r="AS510" s="260" t="str">
        <f t="shared" si="75"/>
        <v/>
      </c>
    </row>
    <row r="511" spans="41:45" hidden="1">
      <c r="AO511" s="612" t="str">
        <f t="shared" si="76"/>
        <v>blank</v>
      </c>
      <c r="AP511" s="260" t="str">
        <f t="shared" si="77"/>
        <v>blank</v>
      </c>
      <c r="AQ511" s="548" t="str">
        <f t="shared" si="73"/>
        <v/>
      </c>
      <c r="AR511" s="260" t="str">
        <f t="shared" si="74"/>
        <v/>
      </c>
      <c r="AS511" s="260" t="str">
        <f t="shared" si="75"/>
        <v/>
      </c>
    </row>
    <row r="512" spans="41:45" hidden="1">
      <c r="AO512" s="612" t="str">
        <f t="shared" si="76"/>
        <v>blank</v>
      </c>
      <c r="AP512" s="260" t="str">
        <f t="shared" si="77"/>
        <v>blank</v>
      </c>
      <c r="AQ512" s="548" t="str">
        <f t="shared" si="73"/>
        <v/>
      </c>
      <c r="AR512" s="260" t="str">
        <f t="shared" si="74"/>
        <v/>
      </c>
      <c r="AS512" s="260" t="str">
        <f t="shared" si="75"/>
        <v/>
      </c>
    </row>
    <row r="513" spans="41:45" hidden="1">
      <c r="AO513" s="612" t="str">
        <f t="shared" si="76"/>
        <v>blank</v>
      </c>
      <c r="AP513" s="260" t="str">
        <f t="shared" si="77"/>
        <v>blank</v>
      </c>
      <c r="AQ513" s="548" t="str">
        <f t="shared" si="73"/>
        <v/>
      </c>
      <c r="AR513" s="260" t="str">
        <f t="shared" si="74"/>
        <v/>
      </c>
      <c r="AS513" s="260" t="str">
        <f t="shared" si="75"/>
        <v/>
      </c>
    </row>
    <row r="514" spans="41:45" hidden="1">
      <c r="AO514" s="612" t="str">
        <f t="shared" si="76"/>
        <v>blank</v>
      </c>
      <c r="AP514" s="260" t="str">
        <f t="shared" si="77"/>
        <v>blank</v>
      </c>
      <c r="AQ514" s="548" t="str">
        <f t="shared" si="73"/>
        <v/>
      </c>
      <c r="AR514" s="260" t="str">
        <f t="shared" si="74"/>
        <v/>
      </c>
      <c r="AS514" s="260" t="str">
        <f t="shared" si="75"/>
        <v/>
      </c>
    </row>
    <row r="515" spans="41:45" hidden="1">
      <c r="AO515" s="612" t="str">
        <f t="shared" si="76"/>
        <v>blank</v>
      </c>
      <c r="AP515" s="260" t="str">
        <f t="shared" si="77"/>
        <v>blank</v>
      </c>
      <c r="AQ515" s="548" t="str">
        <f t="shared" ref="AQ515:AQ578" si="78">IFERROR(IF(AND(AO515="Yes", AP515&lt;&gt;"blank"), "有定金+客戶送貨期", IF(AND(AO515="Yes", AP515="blank"), "有定金+无客戶送貨期", IF(AND(OR(AO515="No", ISBLANK(AO515), AO515="NA"), AP515&lt;&gt;"blank"), "无定金+有客戶送貨期", IF(AND(OR(AO515="No", ISBLANK(AO515), AO515="NA"), AP515="blank"), "无定金+无客戶送貨期", "")))), "")</f>
        <v/>
      </c>
      <c r="AR515" s="260" t="str">
        <f t="shared" ref="AR515:AR578" si="79">IFERROR(IF(B515="已经到货", "Instock", IF(B515="有交期", "Incoming_Stock_With_YAMAHA_Schedule", IF(B515="TBA.", "Incoming_Stock_No_YAMAHA_Schedule", IF(B515="已发货", "Shipped_Stock", "")))), "")</f>
        <v/>
      </c>
      <c r="AS515" s="260" t="str">
        <f t="shared" ref="AS515:AS578" si="80">IF(AND(B515="有交期", L515&lt;&gt;""), L515, "")</f>
        <v/>
      </c>
    </row>
    <row r="516" spans="41:45" hidden="1">
      <c r="AO516" s="612" t="str">
        <f t="shared" si="76"/>
        <v>blank</v>
      </c>
      <c r="AP516" s="260" t="str">
        <f t="shared" si="77"/>
        <v>blank</v>
      </c>
      <c r="AQ516" s="548" t="str">
        <f t="shared" si="78"/>
        <v/>
      </c>
      <c r="AR516" s="260" t="str">
        <f t="shared" si="79"/>
        <v/>
      </c>
      <c r="AS516" s="260" t="str">
        <f t="shared" si="80"/>
        <v/>
      </c>
    </row>
    <row r="517" spans="41:45" hidden="1">
      <c r="AO517" s="612" t="str">
        <f t="shared" si="76"/>
        <v>blank</v>
      </c>
      <c r="AP517" s="260" t="str">
        <f t="shared" si="77"/>
        <v>blank</v>
      </c>
      <c r="AQ517" s="548" t="str">
        <f t="shared" si="78"/>
        <v/>
      </c>
      <c r="AR517" s="260" t="str">
        <f t="shared" si="79"/>
        <v/>
      </c>
      <c r="AS517" s="260" t="str">
        <f t="shared" si="80"/>
        <v/>
      </c>
    </row>
    <row r="518" spans="41:45" hidden="1">
      <c r="AO518" s="612" t="str">
        <f t="shared" si="76"/>
        <v>blank</v>
      </c>
      <c r="AP518" s="260" t="str">
        <f t="shared" si="77"/>
        <v>blank</v>
      </c>
      <c r="AQ518" s="548" t="str">
        <f t="shared" si="78"/>
        <v/>
      </c>
      <c r="AR518" s="260" t="str">
        <f t="shared" si="79"/>
        <v/>
      </c>
      <c r="AS518" s="260" t="str">
        <f t="shared" si="80"/>
        <v/>
      </c>
    </row>
    <row r="519" spans="41:45" hidden="1">
      <c r="AO519" s="612" t="str">
        <f t="shared" si="76"/>
        <v>blank</v>
      </c>
      <c r="AP519" s="260" t="str">
        <f t="shared" si="77"/>
        <v>blank</v>
      </c>
      <c r="AQ519" s="548" t="str">
        <f t="shared" si="78"/>
        <v/>
      </c>
      <c r="AR519" s="260" t="str">
        <f t="shared" si="79"/>
        <v/>
      </c>
      <c r="AS519" s="260" t="str">
        <f t="shared" si="80"/>
        <v/>
      </c>
    </row>
    <row r="520" spans="41:45" hidden="1">
      <c r="AO520" s="612" t="str">
        <f t="shared" si="76"/>
        <v>blank</v>
      </c>
      <c r="AP520" s="260" t="str">
        <f t="shared" si="77"/>
        <v>blank</v>
      </c>
      <c r="AQ520" s="548" t="str">
        <f t="shared" si="78"/>
        <v/>
      </c>
      <c r="AR520" s="260" t="str">
        <f t="shared" si="79"/>
        <v/>
      </c>
      <c r="AS520" s="260" t="str">
        <f t="shared" si="80"/>
        <v/>
      </c>
    </row>
    <row r="521" spans="41:45" hidden="1">
      <c r="AO521" s="612" t="str">
        <f t="shared" si="76"/>
        <v>blank</v>
      </c>
      <c r="AP521" s="260" t="str">
        <f t="shared" si="77"/>
        <v>blank</v>
      </c>
      <c r="AQ521" s="548" t="str">
        <f t="shared" si="78"/>
        <v/>
      </c>
      <c r="AR521" s="260" t="str">
        <f t="shared" si="79"/>
        <v/>
      </c>
      <c r="AS521" s="260" t="str">
        <f t="shared" si="80"/>
        <v/>
      </c>
    </row>
    <row r="522" spans="41:45" hidden="1">
      <c r="AO522" s="612" t="str">
        <f t="shared" si="76"/>
        <v>blank</v>
      </c>
      <c r="AP522" s="260" t="str">
        <f t="shared" si="77"/>
        <v>blank</v>
      </c>
      <c r="AQ522" s="548" t="str">
        <f t="shared" si="78"/>
        <v/>
      </c>
      <c r="AR522" s="260" t="str">
        <f t="shared" si="79"/>
        <v/>
      </c>
      <c r="AS522" s="260" t="str">
        <f t="shared" si="80"/>
        <v/>
      </c>
    </row>
    <row r="523" spans="41:45" hidden="1">
      <c r="AO523" s="612" t="str">
        <f t="shared" si="76"/>
        <v>blank</v>
      </c>
      <c r="AP523" s="260" t="str">
        <f t="shared" si="77"/>
        <v>blank</v>
      </c>
      <c r="AQ523" s="548" t="str">
        <f t="shared" si="78"/>
        <v/>
      </c>
      <c r="AR523" s="260" t="str">
        <f t="shared" si="79"/>
        <v/>
      </c>
      <c r="AS523" s="260" t="str">
        <f t="shared" si="80"/>
        <v/>
      </c>
    </row>
    <row r="524" spans="41:45" hidden="1">
      <c r="AO524" s="612" t="str">
        <f t="shared" si="76"/>
        <v>blank</v>
      </c>
      <c r="AP524" s="260" t="str">
        <f t="shared" si="77"/>
        <v>blank</v>
      </c>
      <c r="AQ524" s="548" t="str">
        <f t="shared" si="78"/>
        <v/>
      </c>
      <c r="AR524" s="260" t="str">
        <f t="shared" si="79"/>
        <v/>
      </c>
      <c r="AS524" s="260" t="str">
        <f t="shared" si="80"/>
        <v/>
      </c>
    </row>
    <row r="525" spans="41:45" hidden="1">
      <c r="AO525" s="612" t="str">
        <f t="shared" si="76"/>
        <v>blank</v>
      </c>
      <c r="AP525" s="260" t="str">
        <f t="shared" si="77"/>
        <v>blank</v>
      </c>
      <c r="AQ525" s="548" t="str">
        <f t="shared" si="78"/>
        <v/>
      </c>
      <c r="AR525" s="260" t="str">
        <f t="shared" si="79"/>
        <v/>
      </c>
      <c r="AS525" s="260" t="str">
        <f t="shared" si="80"/>
        <v/>
      </c>
    </row>
    <row r="526" spans="41:45" hidden="1">
      <c r="AO526" s="612" t="str">
        <f t="shared" si="76"/>
        <v>blank</v>
      </c>
      <c r="AP526" s="260" t="str">
        <f t="shared" si="77"/>
        <v>blank</v>
      </c>
      <c r="AQ526" s="548" t="str">
        <f t="shared" si="78"/>
        <v/>
      </c>
      <c r="AR526" s="260" t="str">
        <f t="shared" si="79"/>
        <v/>
      </c>
      <c r="AS526" s="260" t="str">
        <f t="shared" si="80"/>
        <v/>
      </c>
    </row>
    <row r="527" spans="41:45" hidden="1">
      <c r="AO527" s="612" t="str">
        <f t="shared" si="76"/>
        <v>blank</v>
      </c>
      <c r="AP527" s="260" t="str">
        <f t="shared" si="77"/>
        <v>blank</v>
      </c>
      <c r="AQ527" s="548" t="str">
        <f t="shared" si="78"/>
        <v/>
      </c>
      <c r="AR527" s="260" t="str">
        <f t="shared" si="79"/>
        <v/>
      </c>
      <c r="AS527" s="260" t="str">
        <f t="shared" si="80"/>
        <v/>
      </c>
    </row>
    <row r="528" spans="41:45" hidden="1">
      <c r="AO528" s="612" t="str">
        <f t="shared" si="76"/>
        <v>blank</v>
      </c>
      <c r="AP528" s="260" t="str">
        <f t="shared" si="77"/>
        <v>blank</v>
      </c>
      <c r="AQ528" s="548" t="str">
        <f t="shared" si="78"/>
        <v/>
      </c>
      <c r="AR528" s="260" t="str">
        <f t="shared" si="79"/>
        <v/>
      </c>
      <c r="AS528" s="260" t="str">
        <f t="shared" si="80"/>
        <v/>
      </c>
    </row>
    <row r="529" spans="41:45" hidden="1">
      <c r="AO529" s="612" t="str">
        <f t="shared" si="76"/>
        <v>blank</v>
      </c>
      <c r="AP529" s="260" t="str">
        <f t="shared" si="77"/>
        <v>blank</v>
      </c>
      <c r="AQ529" s="548" t="str">
        <f t="shared" si="78"/>
        <v/>
      </c>
      <c r="AR529" s="260" t="str">
        <f t="shared" si="79"/>
        <v/>
      </c>
      <c r="AS529" s="260" t="str">
        <f t="shared" si="80"/>
        <v/>
      </c>
    </row>
    <row r="530" spans="41:45" hidden="1">
      <c r="AO530" s="612" t="str">
        <f t="shared" si="76"/>
        <v>blank</v>
      </c>
      <c r="AP530" s="260" t="str">
        <f t="shared" si="77"/>
        <v>blank</v>
      </c>
      <c r="AQ530" s="548" t="str">
        <f t="shared" si="78"/>
        <v/>
      </c>
      <c r="AR530" s="260" t="str">
        <f t="shared" si="79"/>
        <v/>
      </c>
      <c r="AS530" s="260" t="str">
        <f t="shared" si="80"/>
        <v/>
      </c>
    </row>
    <row r="531" spans="41:45" hidden="1">
      <c r="AO531" s="612" t="str">
        <f t="shared" si="76"/>
        <v>blank</v>
      </c>
      <c r="AP531" s="260" t="str">
        <f t="shared" si="77"/>
        <v>blank</v>
      </c>
      <c r="AQ531" s="548" t="str">
        <f t="shared" si="78"/>
        <v/>
      </c>
      <c r="AR531" s="260" t="str">
        <f t="shared" si="79"/>
        <v/>
      </c>
      <c r="AS531" s="260" t="str">
        <f t="shared" si="80"/>
        <v/>
      </c>
    </row>
    <row r="532" spans="41:45" hidden="1">
      <c r="AO532" s="612" t="str">
        <f t="shared" si="76"/>
        <v>blank</v>
      </c>
      <c r="AP532" s="260" t="str">
        <f t="shared" si="77"/>
        <v>blank</v>
      </c>
      <c r="AQ532" s="548" t="str">
        <f t="shared" si="78"/>
        <v/>
      </c>
      <c r="AR532" s="260" t="str">
        <f t="shared" si="79"/>
        <v/>
      </c>
      <c r="AS532" s="260" t="str">
        <f t="shared" si="80"/>
        <v/>
      </c>
    </row>
    <row r="533" spans="41:45" hidden="1">
      <c r="AO533" s="612" t="str">
        <f t="shared" si="76"/>
        <v>blank</v>
      </c>
      <c r="AP533" s="260" t="str">
        <f t="shared" si="77"/>
        <v>blank</v>
      </c>
      <c r="AQ533" s="548" t="str">
        <f t="shared" si="78"/>
        <v/>
      </c>
      <c r="AR533" s="260" t="str">
        <f t="shared" si="79"/>
        <v/>
      </c>
      <c r="AS533" s="260" t="str">
        <f t="shared" si="80"/>
        <v/>
      </c>
    </row>
    <row r="534" spans="41:45" hidden="1">
      <c r="AO534" s="612" t="str">
        <f t="shared" ref="AO534:AO597" si="81">IFERROR(IF(Y534&lt;&gt;"",Y534,"blank"),"NA")</f>
        <v>blank</v>
      </c>
      <c r="AP534" s="260" t="str">
        <f t="shared" ref="AP534:AP597" si="82">IFERROR(IF(N534&lt;&gt;"",N534,"blank"),"NA")</f>
        <v>blank</v>
      </c>
      <c r="AQ534" s="548" t="str">
        <f t="shared" si="78"/>
        <v/>
      </c>
      <c r="AR534" s="260" t="str">
        <f t="shared" si="79"/>
        <v/>
      </c>
      <c r="AS534" s="260" t="str">
        <f t="shared" si="80"/>
        <v/>
      </c>
    </row>
    <row r="535" spans="41:45" hidden="1">
      <c r="AO535" s="612" t="str">
        <f t="shared" si="81"/>
        <v>blank</v>
      </c>
      <c r="AP535" s="260" t="str">
        <f t="shared" si="82"/>
        <v>blank</v>
      </c>
      <c r="AQ535" s="548" t="str">
        <f t="shared" si="78"/>
        <v/>
      </c>
      <c r="AR535" s="260" t="str">
        <f t="shared" si="79"/>
        <v/>
      </c>
      <c r="AS535" s="260" t="str">
        <f t="shared" si="80"/>
        <v/>
      </c>
    </row>
    <row r="536" spans="41:45" hidden="1">
      <c r="AO536" s="612" t="str">
        <f t="shared" si="81"/>
        <v>blank</v>
      </c>
      <c r="AP536" s="260" t="str">
        <f t="shared" si="82"/>
        <v>blank</v>
      </c>
      <c r="AQ536" s="548" t="str">
        <f t="shared" si="78"/>
        <v/>
      </c>
      <c r="AR536" s="260" t="str">
        <f t="shared" si="79"/>
        <v/>
      </c>
      <c r="AS536" s="260" t="str">
        <f t="shared" si="80"/>
        <v/>
      </c>
    </row>
    <row r="537" spans="41:45" hidden="1">
      <c r="AO537" s="612" t="str">
        <f t="shared" si="81"/>
        <v>blank</v>
      </c>
      <c r="AP537" s="260" t="str">
        <f t="shared" si="82"/>
        <v>blank</v>
      </c>
      <c r="AQ537" s="548" t="str">
        <f t="shared" si="78"/>
        <v/>
      </c>
      <c r="AR537" s="260" t="str">
        <f t="shared" si="79"/>
        <v/>
      </c>
      <c r="AS537" s="260" t="str">
        <f t="shared" si="80"/>
        <v/>
      </c>
    </row>
    <row r="538" spans="41:45" hidden="1">
      <c r="AO538" s="612" t="str">
        <f t="shared" si="81"/>
        <v>blank</v>
      </c>
      <c r="AP538" s="260" t="str">
        <f t="shared" si="82"/>
        <v>blank</v>
      </c>
      <c r="AQ538" s="548" t="str">
        <f t="shared" si="78"/>
        <v/>
      </c>
      <c r="AR538" s="260" t="str">
        <f t="shared" si="79"/>
        <v/>
      </c>
      <c r="AS538" s="260" t="str">
        <f t="shared" si="80"/>
        <v/>
      </c>
    </row>
    <row r="539" spans="41:45" hidden="1">
      <c r="AO539" s="612" t="str">
        <f t="shared" si="81"/>
        <v>blank</v>
      </c>
      <c r="AP539" s="260" t="str">
        <f t="shared" si="82"/>
        <v>blank</v>
      </c>
      <c r="AQ539" s="548" t="str">
        <f t="shared" si="78"/>
        <v/>
      </c>
      <c r="AR539" s="260" t="str">
        <f t="shared" si="79"/>
        <v/>
      </c>
      <c r="AS539" s="260" t="str">
        <f t="shared" si="80"/>
        <v/>
      </c>
    </row>
    <row r="540" spans="41:45" hidden="1">
      <c r="AO540" s="612" t="str">
        <f t="shared" si="81"/>
        <v>blank</v>
      </c>
      <c r="AP540" s="260" t="str">
        <f t="shared" si="82"/>
        <v>blank</v>
      </c>
      <c r="AQ540" s="548" t="str">
        <f t="shared" si="78"/>
        <v/>
      </c>
      <c r="AR540" s="260" t="str">
        <f t="shared" si="79"/>
        <v/>
      </c>
      <c r="AS540" s="260" t="str">
        <f t="shared" si="80"/>
        <v/>
      </c>
    </row>
    <row r="541" spans="41:45" hidden="1">
      <c r="AO541" s="612" t="str">
        <f t="shared" si="81"/>
        <v>blank</v>
      </c>
      <c r="AP541" s="260" t="str">
        <f t="shared" si="82"/>
        <v>blank</v>
      </c>
      <c r="AQ541" s="548" t="str">
        <f t="shared" si="78"/>
        <v/>
      </c>
      <c r="AR541" s="260" t="str">
        <f t="shared" si="79"/>
        <v/>
      </c>
      <c r="AS541" s="260" t="str">
        <f t="shared" si="80"/>
        <v/>
      </c>
    </row>
    <row r="542" spans="41:45" hidden="1">
      <c r="AO542" s="612" t="str">
        <f t="shared" si="81"/>
        <v>blank</v>
      </c>
      <c r="AP542" s="260" t="str">
        <f t="shared" si="82"/>
        <v>blank</v>
      </c>
      <c r="AQ542" s="548" t="str">
        <f t="shared" si="78"/>
        <v/>
      </c>
      <c r="AR542" s="260" t="str">
        <f t="shared" si="79"/>
        <v/>
      </c>
      <c r="AS542" s="260" t="str">
        <f t="shared" si="80"/>
        <v/>
      </c>
    </row>
    <row r="543" spans="41:45" hidden="1">
      <c r="AO543" s="612" t="str">
        <f t="shared" si="81"/>
        <v>blank</v>
      </c>
      <c r="AP543" s="260" t="str">
        <f t="shared" si="82"/>
        <v>blank</v>
      </c>
      <c r="AQ543" s="548" t="str">
        <f t="shared" si="78"/>
        <v/>
      </c>
      <c r="AR543" s="260" t="str">
        <f t="shared" si="79"/>
        <v/>
      </c>
      <c r="AS543" s="260" t="str">
        <f t="shared" si="80"/>
        <v/>
      </c>
    </row>
    <row r="544" spans="41:45" hidden="1">
      <c r="AO544" s="612" t="str">
        <f t="shared" si="81"/>
        <v>blank</v>
      </c>
      <c r="AP544" s="260" t="str">
        <f t="shared" si="82"/>
        <v>blank</v>
      </c>
      <c r="AQ544" s="548" t="str">
        <f t="shared" si="78"/>
        <v/>
      </c>
      <c r="AR544" s="260" t="str">
        <f t="shared" si="79"/>
        <v/>
      </c>
      <c r="AS544" s="260" t="str">
        <f t="shared" si="80"/>
        <v/>
      </c>
    </row>
    <row r="545" spans="41:45" hidden="1">
      <c r="AO545" s="612" t="str">
        <f t="shared" si="81"/>
        <v>blank</v>
      </c>
      <c r="AP545" s="260" t="str">
        <f t="shared" si="82"/>
        <v>blank</v>
      </c>
      <c r="AQ545" s="548" t="str">
        <f t="shared" si="78"/>
        <v/>
      </c>
      <c r="AR545" s="260" t="str">
        <f t="shared" si="79"/>
        <v/>
      </c>
      <c r="AS545" s="260" t="str">
        <f t="shared" si="80"/>
        <v/>
      </c>
    </row>
    <row r="546" spans="41:45" hidden="1">
      <c r="AO546" s="612" t="str">
        <f t="shared" si="81"/>
        <v>blank</v>
      </c>
      <c r="AP546" s="260" t="str">
        <f t="shared" si="82"/>
        <v>blank</v>
      </c>
      <c r="AQ546" s="548" t="str">
        <f t="shared" si="78"/>
        <v/>
      </c>
      <c r="AR546" s="260" t="str">
        <f t="shared" si="79"/>
        <v/>
      </c>
      <c r="AS546" s="260" t="str">
        <f t="shared" si="80"/>
        <v/>
      </c>
    </row>
    <row r="547" spans="41:45" hidden="1">
      <c r="AO547" s="612" t="str">
        <f t="shared" si="81"/>
        <v>blank</v>
      </c>
      <c r="AP547" s="260" t="str">
        <f t="shared" si="82"/>
        <v>blank</v>
      </c>
      <c r="AQ547" s="548" t="str">
        <f t="shared" si="78"/>
        <v/>
      </c>
      <c r="AR547" s="260" t="str">
        <f t="shared" si="79"/>
        <v/>
      </c>
      <c r="AS547" s="260" t="str">
        <f t="shared" si="80"/>
        <v/>
      </c>
    </row>
    <row r="548" spans="41:45" hidden="1">
      <c r="AO548" s="612" t="str">
        <f t="shared" si="81"/>
        <v>blank</v>
      </c>
      <c r="AP548" s="260" t="str">
        <f t="shared" si="82"/>
        <v>blank</v>
      </c>
      <c r="AQ548" s="548" t="str">
        <f t="shared" si="78"/>
        <v/>
      </c>
      <c r="AR548" s="260" t="str">
        <f t="shared" si="79"/>
        <v/>
      </c>
      <c r="AS548" s="260" t="str">
        <f t="shared" si="80"/>
        <v/>
      </c>
    </row>
    <row r="549" spans="41:45" hidden="1">
      <c r="AO549" s="612" t="str">
        <f t="shared" si="81"/>
        <v>blank</v>
      </c>
      <c r="AP549" s="260" t="str">
        <f t="shared" si="82"/>
        <v>blank</v>
      </c>
      <c r="AQ549" s="548" t="str">
        <f t="shared" si="78"/>
        <v/>
      </c>
      <c r="AR549" s="260" t="str">
        <f t="shared" si="79"/>
        <v/>
      </c>
      <c r="AS549" s="260" t="str">
        <f t="shared" si="80"/>
        <v/>
      </c>
    </row>
    <row r="550" spans="41:45" hidden="1">
      <c r="AO550" s="612" t="str">
        <f t="shared" si="81"/>
        <v>blank</v>
      </c>
      <c r="AP550" s="260" t="str">
        <f t="shared" si="82"/>
        <v>blank</v>
      </c>
      <c r="AQ550" s="548" t="str">
        <f t="shared" si="78"/>
        <v/>
      </c>
      <c r="AR550" s="260" t="str">
        <f t="shared" si="79"/>
        <v/>
      </c>
      <c r="AS550" s="260" t="str">
        <f t="shared" si="80"/>
        <v/>
      </c>
    </row>
    <row r="551" spans="41:45" hidden="1">
      <c r="AO551" s="612" t="str">
        <f t="shared" si="81"/>
        <v>blank</v>
      </c>
      <c r="AP551" s="260" t="str">
        <f t="shared" si="82"/>
        <v>blank</v>
      </c>
      <c r="AQ551" s="548" t="str">
        <f t="shared" si="78"/>
        <v/>
      </c>
      <c r="AR551" s="260" t="str">
        <f t="shared" si="79"/>
        <v/>
      </c>
      <c r="AS551" s="260" t="str">
        <f t="shared" si="80"/>
        <v/>
      </c>
    </row>
    <row r="552" spans="41:45" hidden="1">
      <c r="AO552" s="612" t="str">
        <f t="shared" si="81"/>
        <v>blank</v>
      </c>
      <c r="AP552" s="260" t="str">
        <f t="shared" si="82"/>
        <v>blank</v>
      </c>
      <c r="AQ552" s="548" t="str">
        <f t="shared" si="78"/>
        <v/>
      </c>
      <c r="AR552" s="260" t="str">
        <f t="shared" si="79"/>
        <v/>
      </c>
      <c r="AS552" s="260" t="str">
        <f t="shared" si="80"/>
        <v/>
      </c>
    </row>
    <row r="553" spans="41:45" hidden="1">
      <c r="AO553" s="612" t="str">
        <f t="shared" si="81"/>
        <v>blank</v>
      </c>
      <c r="AP553" s="260" t="str">
        <f t="shared" si="82"/>
        <v>blank</v>
      </c>
      <c r="AQ553" s="548" t="str">
        <f t="shared" si="78"/>
        <v/>
      </c>
      <c r="AR553" s="260" t="str">
        <f t="shared" si="79"/>
        <v/>
      </c>
      <c r="AS553" s="260" t="str">
        <f t="shared" si="80"/>
        <v/>
      </c>
    </row>
    <row r="554" spans="41:45" hidden="1">
      <c r="AO554" s="612" t="str">
        <f t="shared" si="81"/>
        <v>blank</v>
      </c>
      <c r="AP554" s="260" t="str">
        <f t="shared" si="82"/>
        <v>blank</v>
      </c>
      <c r="AQ554" s="548" t="str">
        <f t="shared" si="78"/>
        <v/>
      </c>
      <c r="AR554" s="260" t="str">
        <f t="shared" si="79"/>
        <v/>
      </c>
      <c r="AS554" s="260" t="str">
        <f t="shared" si="80"/>
        <v/>
      </c>
    </row>
    <row r="555" spans="41:45" hidden="1">
      <c r="AO555" s="612" t="str">
        <f t="shared" si="81"/>
        <v>blank</v>
      </c>
      <c r="AP555" s="260" t="str">
        <f t="shared" si="82"/>
        <v>blank</v>
      </c>
      <c r="AQ555" s="548" t="str">
        <f t="shared" si="78"/>
        <v/>
      </c>
      <c r="AR555" s="260" t="str">
        <f t="shared" si="79"/>
        <v/>
      </c>
      <c r="AS555" s="260" t="str">
        <f t="shared" si="80"/>
        <v/>
      </c>
    </row>
    <row r="556" spans="41:45" hidden="1">
      <c r="AO556" s="612" t="str">
        <f t="shared" si="81"/>
        <v>blank</v>
      </c>
      <c r="AP556" s="260" t="str">
        <f t="shared" si="82"/>
        <v>blank</v>
      </c>
      <c r="AQ556" s="548" t="str">
        <f t="shared" si="78"/>
        <v/>
      </c>
      <c r="AR556" s="260" t="str">
        <f t="shared" si="79"/>
        <v/>
      </c>
      <c r="AS556" s="260" t="str">
        <f t="shared" si="80"/>
        <v/>
      </c>
    </row>
    <row r="557" spans="41:45" hidden="1">
      <c r="AO557" s="612" t="str">
        <f t="shared" si="81"/>
        <v>blank</v>
      </c>
      <c r="AP557" s="260" t="str">
        <f t="shared" si="82"/>
        <v>blank</v>
      </c>
      <c r="AQ557" s="548" t="str">
        <f t="shared" si="78"/>
        <v/>
      </c>
      <c r="AR557" s="260" t="str">
        <f t="shared" si="79"/>
        <v/>
      </c>
      <c r="AS557" s="260" t="str">
        <f t="shared" si="80"/>
        <v/>
      </c>
    </row>
    <row r="558" spans="41:45" hidden="1">
      <c r="AO558" s="612" t="str">
        <f t="shared" si="81"/>
        <v>blank</v>
      </c>
      <c r="AP558" s="260" t="str">
        <f t="shared" si="82"/>
        <v>blank</v>
      </c>
      <c r="AQ558" s="548" t="str">
        <f t="shared" si="78"/>
        <v/>
      </c>
      <c r="AR558" s="260" t="str">
        <f t="shared" si="79"/>
        <v/>
      </c>
      <c r="AS558" s="260" t="str">
        <f t="shared" si="80"/>
        <v/>
      </c>
    </row>
    <row r="559" spans="41:45" hidden="1">
      <c r="AO559" s="612" t="str">
        <f t="shared" si="81"/>
        <v>blank</v>
      </c>
      <c r="AP559" s="260" t="str">
        <f t="shared" si="82"/>
        <v>blank</v>
      </c>
      <c r="AQ559" s="548" t="str">
        <f t="shared" si="78"/>
        <v/>
      </c>
      <c r="AR559" s="260" t="str">
        <f t="shared" si="79"/>
        <v/>
      </c>
      <c r="AS559" s="260" t="str">
        <f t="shared" si="80"/>
        <v/>
      </c>
    </row>
    <row r="560" spans="41:45" hidden="1">
      <c r="AO560" s="612" t="str">
        <f t="shared" si="81"/>
        <v>blank</v>
      </c>
      <c r="AP560" s="260" t="str">
        <f t="shared" si="82"/>
        <v>blank</v>
      </c>
      <c r="AQ560" s="548" t="str">
        <f t="shared" si="78"/>
        <v/>
      </c>
      <c r="AR560" s="260" t="str">
        <f t="shared" si="79"/>
        <v/>
      </c>
      <c r="AS560" s="260" t="str">
        <f t="shared" si="80"/>
        <v/>
      </c>
    </row>
    <row r="561" spans="41:45" hidden="1">
      <c r="AO561" s="612" t="str">
        <f t="shared" si="81"/>
        <v>blank</v>
      </c>
      <c r="AP561" s="260" t="str">
        <f t="shared" si="82"/>
        <v>blank</v>
      </c>
      <c r="AQ561" s="548" t="str">
        <f t="shared" si="78"/>
        <v/>
      </c>
      <c r="AR561" s="260" t="str">
        <f t="shared" si="79"/>
        <v/>
      </c>
      <c r="AS561" s="260" t="str">
        <f t="shared" si="80"/>
        <v/>
      </c>
    </row>
    <row r="562" spans="41:45" hidden="1">
      <c r="AO562" s="612" t="str">
        <f t="shared" si="81"/>
        <v>blank</v>
      </c>
      <c r="AP562" s="260" t="str">
        <f t="shared" si="82"/>
        <v>blank</v>
      </c>
      <c r="AQ562" s="548" t="str">
        <f t="shared" si="78"/>
        <v/>
      </c>
      <c r="AR562" s="260" t="str">
        <f t="shared" si="79"/>
        <v/>
      </c>
      <c r="AS562" s="260" t="str">
        <f t="shared" si="80"/>
        <v/>
      </c>
    </row>
    <row r="563" spans="41:45" hidden="1">
      <c r="AO563" s="612" t="str">
        <f t="shared" si="81"/>
        <v>blank</v>
      </c>
      <c r="AP563" s="260" t="str">
        <f t="shared" si="82"/>
        <v>blank</v>
      </c>
      <c r="AQ563" s="548" t="str">
        <f t="shared" si="78"/>
        <v/>
      </c>
      <c r="AR563" s="260" t="str">
        <f t="shared" si="79"/>
        <v/>
      </c>
      <c r="AS563" s="260" t="str">
        <f t="shared" si="80"/>
        <v/>
      </c>
    </row>
    <row r="564" spans="41:45" hidden="1">
      <c r="AO564" s="612" t="str">
        <f t="shared" si="81"/>
        <v>blank</v>
      </c>
      <c r="AP564" s="260" t="str">
        <f t="shared" si="82"/>
        <v>blank</v>
      </c>
      <c r="AQ564" s="548" t="str">
        <f t="shared" si="78"/>
        <v/>
      </c>
      <c r="AR564" s="260" t="str">
        <f t="shared" si="79"/>
        <v/>
      </c>
      <c r="AS564" s="260" t="str">
        <f t="shared" si="80"/>
        <v/>
      </c>
    </row>
    <row r="565" spans="41:45" hidden="1">
      <c r="AO565" s="612" t="str">
        <f t="shared" si="81"/>
        <v>blank</v>
      </c>
      <c r="AP565" s="260" t="str">
        <f t="shared" si="82"/>
        <v>blank</v>
      </c>
      <c r="AQ565" s="548" t="str">
        <f t="shared" si="78"/>
        <v/>
      </c>
      <c r="AR565" s="260" t="str">
        <f t="shared" si="79"/>
        <v/>
      </c>
      <c r="AS565" s="260" t="str">
        <f t="shared" si="80"/>
        <v/>
      </c>
    </row>
    <row r="566" spans="41:45" hidden="1">
      <c r="AO566" s="612" t="str">
        <f t="shared" si="81"/>
        <v>blank</v>
      </c>
      <c r="AP566" s="260" t="str">
        <f t="shared" si="82"/>
        <v>blank</v>
      </c>
      <c r="AQ566" s="548" t="str">
        <f t="shared" si="78"/>
        <v/>
      </c>
      <c r="AR566" s="260" t="str">
        <f t="shared" si="79"/>
        <v/>
      </c>
      <c r="AS566" s="260" t="str">
        <f t="shared" si="80"/>
        <v/>
      </c>
    </row>
    <row r="567" spans="41:45" hidden="1">
      <c r="AO567" s="612" t="str">
        <f t="shared" si="81"/>
        <v>blank</v>
      </c>
      <c r="AP567" s="260" t="str">
        <f t="shared" si="82"/>
        <v>blank</v>
      </c>
      <c r="AQ567" s="548" t="str">
        <f t="shared" si="78"/>
        <v/>
      </c>
      <c r="AR567" s="260" t="str">
        <f t="shared" si="79"/>
        <v/>
      </c>
      <c r="AS567" s="260" t="str">
        <f t="shared" si="80"/>
        <v/>
      </c>
    </row>
    <row r="568" spans="41:45" hidden="1">
      <c r="AO568" s="612" t="str">
        <f t="shared" si="81"/>
        <v>blank</v>
      </c>
      <c r="AP568" s="260" t="str">
        <f t="shared" si="82"/>
        <v>blank</v>
      </c>
      <c r="AQ568" s="548" t="str">
        <f t="shared" si="78"/>
        <v/>
      </c>
      <c r="AR568" s="260" t="str">
        <f t="shared" si="79"/>
        <v/>
      </c>
      <c r="AS568" s="260" t="str">
        <f t="shared" si="80"/>
        <v/>
      </c>
    </row>
    <row r="569" spans="41:45" hidden="1">
      <c r="AO569" s="612" t="str">
        <f t="shared" si="81"/>
        <v>blank</v>
      </c>
      <c r="AP569" s="260" t="str">
        <f t="shared" si="82"/>
        <v>blank</v>
      </c>
      <c r="AQ569" s="548" t="str">
        <f t="shared" si="78"/>
        <v/>
      </c>
      <c r="AR569" s="260" t="str">
        <f t="shared" si="79"/>
        <v/>
      </c>
      <c r="AS569" s="260" t="str">
        <f t="shared" si="80"/>
        <v/>
      </c>
    </row>
    <row r="570" spans="41:45" hidden="1">
      <c r="AO570" s="612" t="str">
        <f t="shared" si="81"/>
        <v>blank</v>
      </c>
      <c r="AP570" s="260" t="str">
        <f t="shared" si="82"/>
        <v>blank</v>
      </c>
      <c r="AQ570" s="548" t="str">
        <f t="shared" si="78"/>
        <v/>
      </c>
      <c r="AR570" s="260" t="str">
        <f t="shared" si="79"/>
        <v/>
      </c>
      <c r="AS570" s="260" t="str">
        <f t="shared" si="80"/>
        <v/>
      </c>
    </row>
    <row r="571" spans="41:45" hidden="1">
      <c r="AO571" s="612" t="str">
        <f t="shared" si="81"/>
        <v>blank</v>
      </c>
      <c r="AP571" s="260" t="str">
        <f t="shared" si="82"/>
        <v>blank</v>
      </c>
      <c r="AQ571" s="548" t="str">
        <f t="shared" si="78"/>
        <v/>
      </c>
      <c r="AR571" s="260" t="str">
        <f t="shared" si="79"/>
        <v/>
      </c>
      <c r="AS571" s="260" t="str">
        <f t="shared" si="80"/>
        <v/>
      </c>
    </row>
    <row r="572" spans="41:45" hidden="1">
      <c r="AO572" s="612" t="str">
        <f t="shared" si="81"/>
        <v>blank</v>
      </c>
      <c r="AP572" s="260" t="str">
        <f t="shared" si="82"/>
        <v>blank</v>
      </c>
      <c r="AQ572" s="548" t="str">
        <f t="shared" si="78"/>
        <v/>
      </c>
      <c r="AR572" s="260" t="str">
        <f t="shared" si="79"/>
        <v/>
      </c>
      <c r="AS572" s="260" t="str">
        <f t="shared" si="80"/>
        <v/>
      </c>
    </row>
    <row r="573" spans="41:45" hidden="1">
      <c r="AO573" s="612" t="str">
        <f t="shared" si="81"/>
        <v>blank</v>
      </c>
      <c r="AP573" s="260" t="str">
        <f t="shared" si="82"/>
        <v>blank</v>
      </c>
      <c r="AQ573" s="548" t="str">
        <f t="shared" si="78"/>
        <v/>
      </c>
      <c r="AR573" s="260" t="str">
        <f t="shared" si="79"/>
        <v/>
      </c>
      <c r="AS573" s="260" t="str">
        <f t="shared" si="80"/>
        <v/>
      </c>
    </row>
    <row r="574" spans="41:45" hidden="1">
      <c r="AO574" s="612" t="str">
        <f t="shared" si="81"/>
        <v>blank</v>
      </c>
      <c r="AP574" s="260" t="str">
        <f t="shared" si="82"/>
        <v>blank</v>
      </c>
      <c r="AQ574" s="548" t="str">
        <f t="shared" si="78"/>
        <v/>
      </c>
      <c r="AR574" s="260" t="str">
        <f t="shared" si="79"/>
        <v/>
      </c>
      <c r="AS574" s="260" t="str">
        <f t="shared" si="80"/>
        <v/>
      </c>
    </row>
    <row r="575" spans="41:45" hidden="1">
      <c r="AO575" s="612" t="str">
        <f t="shared" si="81"/>
        <v>blank</v>
      </c>
      <c r="AP575" s="260" t="str">
        <f t="shared" si="82"/>
        <v>blank</v>
      </c>
      <c r="AQ575" s="548" t="str">
        <f t="shared" si="78"/>
        <v/>
      </c>
      <c r="AR575" s="260" t="str">
        <f t="shared" si="79"/>
        <v/>
      </c>
      <c r="AS575" s="260" t="str">
        <f t="shared" si="80"/>
        <v/>
      </c>
    </row>
    <row r="576" spans="41:45" hidden="1">
      <c r="AO576" s="612" t="str">
        <f t="shared" si="81"/>
        <v>blank</v>
      </c>
      <c r="AP576" s="260" t="str">
        <f t="shared" si="82"/>
        <v>blank</v>
      </c>
      <c r="AQ576" s="548" t="str">
        <f t="shared" si="78"/>
        <v/>
      </c>
      <c r="AR576" s="260" t="str">
        <f t="shared" si="79"/>
        <v/>
      </c>
      <c r="AS576" s="260" t="str">
        <f t="shared" si="80"/>
        <v/>
      </c>
    </row>
    <row r="577" spans="41:45" hidden="1">
      <c r="AO577" s="612" t="str">
        <f t="shared" si="81"/>
        <v>blank</v>
      </c>
      <c r="AP577" s="260" t="str">
        <f t="shared" si="82"/>
        <v>blank</v>
      </c>
      <c r="AQ577" s="548" t="str">
        <f t="shared" si="78"/>
        <v/>
      </c>
      <c r="AR577" s="260" t="str">
        <f t="shared" si="79"/>
        <v/>
      </c>
      <c r="AS577" s="260" t="str">
        <f t="shared" si="80"/>
        <v/>
      </c>
    </row>
    <row r="578" spans="41:45" hidden="1">
      <c r="AO578" s="612" t="str">
        <f t="shared" si="81"/>
        <v>blank</v>
      </c>
      <c r="AP578" s="260" t="str">
        <f t="shared" si="82"/>
        <v>blank</v>
      </c>
      <c r="AQ578" s="548" t="str">
        <f t="shared" si="78"/>
        <v/>
      </c>
      <c r="AR578" s="260" t="str">
        <f t="shared" si="79"/>
        <v/>
      </c>
      <c r="AS578" s="260" t="str">
        <f t="shared" si="80"/>
        <v/>
      </c>
    </row>
    <row r="579" spans="41:45" hidden="1">
      <c r="AO579" s="612" t="str">
        <f t="shared" si="81"/>
        <v>blank</v>
      </c>
      <c r="AP579" s="260" t="str">
        <f t="shared" si="82"/>
        <v>blank</v>
      </c>
      <c r="AQ579" s="548" t="str">
        <f t="shared" ref="AQ579:AQ642" si="83">IFERROR(IF(AND(AO579="Yes", AP579&lt;&gt;"blank"), "有定金+客戶送貨期", IF(AND(AO579="Yes", AP579="blank"), "有定金+无客戶送貨期", IF(AND(OR(AO579="No", ISBLANK(AO579), AO579="NA"), AP579&lt;&gt;"blank"), "无定金+有客戶送貨期", IF(AND(OR(AO579="No", ISBLANK(AO579), AO579="NA"), AP579="blank"), "无定金+无客戶送貨期", "")))), "")</f>
        <v/>
      </c>
      <c r="AR579" s="260" t="str">
        <f t="shared" ref="AR579:AR642" si="84">IFERROR(IF(B579="已经到货", "Instock", IF(B579="有交期", "Incoming_Stock_With_YAMAHA_Schedule", IF(B579="TBA.", "Incoming_Stock_No_YAMAHA_Schedule", IF(B579="已发货", "Shipped_Stock", "")))), "")</f>
        <v/>
      </c>
      <c r="AS579" s="260" t="str">
        <f t="shared" ref="AS579:AS642" si="85">IF(AND(B579="有交期", L579&lt;&gt;""), L579, "")</f>
        <v/>
      </c>
    </row>
    <row r="580" spans="41:45" hidden="1">
      <c r="AO580" s="612" t="str">
        <f t="shared" si="81"/>
        <v>blank</v>
      </c>
      <c r="AP580" s="260" t="str">
        <f t="shared" si="82"/>
        <v>blank</v>
      </c>
      <c r="AQ580" s="548" t="str">
        <f t="shared" si="83"/>
        <v/>
      </c>
      <c r="AR580" s="260" t="str">
        <f t="shared" si="84"/>
        <v/>
      </c>
      <c r="AS580" s="260" t="str">
        <f t="shared" si="85"/>
        <v/>
      </c>
    </row>
    <row r="581" spans="41:45" hidden="1">
      <c r="AO581" s="612" t="str">
        <f t="shared" si="81"/>
        <v>blank</v>
      </c>
      <c r="AP581" s="260" t="str">
        <f t="shared" si="82"/>
        <v>blank</v>
      </c>
      <c r="AQ581" s="548" t="str">
        <f t="shared" si="83"/>
        <v/>
      </c>
      <c r="AR581" s="260" t="str">
        <f t="shared" si="84"/>
        <v/>
      </c>
      <c r="AS581" s="260" t="str">
        <f t="shared" si="85"/>
        <v/>
      </c>
    </row>
    <row r="582" spans="41:45" hidden="1">
      <c r="AO582" s="612" t="str">
        <f t="shared" si="81"/>
        <v>blank</v>
      </c>
      <c r="AP582" s="260" t="str">
        <f t="shared" si="82"/>
        <v>blank</v>
      </c>
      <c r="AQ582" s="548" t="str">
        <f t="shared" si="83"/>
        <v/>
      </c>
      <c r="AR582" s="260" t="str">
        <f t="shared" si="84"/>
        <v/>
      </c>
      <c r="AS582" s="260" t="str">
        <f t="shared" si="85"/>
        <v/>
      </c>
    </row>
    <row r="583" spans="41:45" hidden="1">
      <c r="AO583" s="612" t="str">
        <f t="shared" si="81"/>
        <v>blank</v>
      </c>
      <c r="AP583" s="260" t="str">
        <f t="shared" si="82"/>
        <v>blank</v>
      </c>
      <c r="AQ583" s="548" t="str">
        <f t="shared" si="83"/>
        <v/>
      </c>
      <c r="AR583" s="260" t="str">
        <f t="shared" si="84"/>
        <v/>
      </c>
      <c r="AS583" s="260" t="str">
        <f t="shared" si="85"/>
        <v/>
      </c>
    </row>
    <row r="584" spans="41:45" hidden="1">
      <c r="AO584" s="612" t="str">
        <f t="shared" si="81"/>
        <v>blank</v>
      </c>
      <c r="AP584" s="260" t="str">
        <f t="shared" si="82"/>
        <v>blank</v>
      </c>
      <c r="AQ584" s="548" t="str">
        <f t="shared" si="83"/>
        <v/>
      </c>
      <c r="AR584" s="260" t="str">
        <f t="shared" si="84"/>
        <v/>
      </c>
      <c r="AS584" s="260" t="str">
        <f t="shared" si="85"/>
        <v/>
      </c>
    </row>
    <row r="585" spans="41:45" hidden="1">
      <c r="AO585" s="612" t="str">
        <f t="shared" si="81"/>
        <v>blank</v>
      </c>
      <c r="AP585" s="260" t="str">
        <f t="shared" si="82"/>
        <v>blank</v>
      </c>
      <c r="AQ585" s="548" t="str">
        <f t="shared" si="83"/>
        <v/>
      </c>
      <c r="AR585" s="260" t="str">
        <f t="shared" si="84"/>
        <v/>
      </c>
      <c r="AS585" s="260" t="str">
        <f t="shared" si="85"/>
        <v/>
      </c>
    </row>
    <row r="586" spans="41:45" hidden="1">
      <c r="AO586" s="612" t="str">
        <f t="shared" si="81"/>
        <v>blank</v>
      </c>
      <c r="AP586" s="260" t="str">
        <f t="shared" si="82"/>
        <v>blank</v>
      </c>
      <c r="AQ586" s="548" t="str">
        <f t="shared" si="83"/>
        <v/>
      </c>
      <c r="AR586" s="260" t="str">
        <f t="shared" si="84"/>
        <v/>
      </c>
      <c r="AS586" s="260" t="str">
        <f t="shared" si="85"/>
        <v/>
      </c>
    </row>
    <row r="587" spans="41:45" hidden="1">
      <c r="AO587" s="612" t="str">
        <f t="shared" si="81"/>
        <v>blank</v>
      </c>
      <c r="AP587" s="260" t="str">
        <f t="shared" si="82"/>
        <v>blank</v>
      </c>
      <c r="AQ587" s="548" t="str">
        <f t="shared" si="83"/>
        <v/>
      </c>
      <c r="AR587" s="260" t="str">
        <f t="shared" si="84"/>
        <v/>
      </c>
      <c r="AS587" s="260" t="str">
        <f t="shared" si="85"/>
        <v/>
      </c>
    </row>
    <row r="588" spans="41:45" hidden="1">
      <c r="AO588" s="612" t="str">
        <f t="shared" si="81"/>
        <v>blank</v>
      </c>
      <c r="AP588" s="260" t="str">
        <f t="shared" si="82"/>
        <v>blank</v>
      </c>
      <c r="AQ588" s="548" t="str">
        <f t="shared" si="83"/>
        <v/>
      </c>
      <c r="AR588" s="260" t="str">
        <f t="shared" si="84"/>
        <v/>
      </c>
      <c r="AS588" s="260" t="str">
        <f t="shared" si="85"/>
        <v/>
      </c>
    </row>
    <row r="589" spans="41:45" hidden="1">
      <c r="AO589" s="612" t="str">
        <f t="shared" si="81"/>
        <v>blank</v>
      </c>
      <c r="AP589" s="260" t="str">
        <f t="shared" si="82"/>
        <v>blank</v>
      </c>
      <c r="AQ589" s="548" t="str">
        <f t="shared" si="83"/>
        <v/>
      </c>
      <c r="AR589" s="260" t="str">
        <f t="shared" si="84"/>
        <v/>
      </c>
      <c r="AS589" s="260" t="str">
        <f t="shared" si="85"/>
        <v/>
      </c>
    </row>
    <row r="590" spans="41:45" hidden="1">
      <c r="AO590" s="612" t="str">
        <f t="shared" si="81"/>
        <v>blank</v>
      </c>
      <c r="AP590" s="260" t="str">
        <f t="shared" si="82"/>
        <v>blank</v>
      </c>
      <c r="AQ590" s="548" t="str">
        <f t="shared" si="83"/>
        <v/>
      </c>
      <c r="AR590" s="260" t="str">
        <f t="shared" si="84"/>
        <v/>
      </c>
      <c r="AS590" s="260" t="str">
        <f t="shared" si="85"/>
        <v/>
      </c>
    </row>
    <row r="591" spans="41:45" hidden="1">
      <c r="AO591" s="612" t="str">
        <f t="shared" si="81"/>
        <v>blank</v>
      </c>
      <c r="AP591" s="260" t="str">
        <f t="shared" si="82"/>
        <v>blank</v>
      </c>
      <c r="AQ591" s="548" t="str">
        <f t="shared" si="83"/>
        <v/>
      </c>
      <c r="AR591" s="260" t="str">
        <f t="shared" si="84"/>
        <v/>
      </c>
      <c r="AS591" s="260" t="str">
        <f t="shared" si="85"/>
        <v/>
      </c>
    </row>
    <row r="592" spans="41:45" hidden="1">
      <c r="AO592" s="612" t="str">
        <f t="shared" si="81"/>
        <v>blank</v>
      </c>
      <c r="AP592" s="260" t="str">
        <f t="shared" si="82"/>
        <v>blank</v>
      </c>
      <c r="AQ592" s="548" t="str">
        <f t="shared" si="83"/>
        <v/>
      </c>
      <c r="AR592" s="260" t="str">
        <f t="shared" si="84"/>
        <v/>
      </c>
      <c r="AS592" s="260" t="str">
        <f t="shared" si="85"/>
        <v/>
      </c>
    </row>
    <row r="593" spans="41:45" hidden="1">
      <c r="AO593" s="612" t="str">
        <f t="shared" si="81"/>
        <v>blank</v>
      </c>
      <c r="AP593" s="260" t="str">
        <f t="shared" si="82"/>
        <v>blank</v>
      </c>
      <c r="AQ593" s="548" t="str">
        <f t="shared" si="83"/>
        <v/>
      </c>
      <c r="AR593" s="260" t="str">
        <f t="shared" si="84"/>
        <v/>
      </c>
      <c r="AS593" s="260" t="str">
        <f t="shared" si="85"/>
        <v/>
      </c>
    </row>
    <row r="594" spans="41:45" hidden="1">
      <c r="AO594" s="612" t="str">
        <f t="shared" si="81"/>
        <v>blank</v>
      </c>
      <c r="AP594" s="260" t="str">
        <f t="shared" si="82"/>
        <v>blank</v>
      </c>
      <c r="AQ594" s="548" t="str">
        <f t="shared" si="83"/>
        <v/>
      </c>
      <c r="AR594" s="260" t="str">
        <f t="shared" si="84"/>
        <v/>
      </c>
      <c r="AS594" s="260" t="str">
        <f t="shared" si="85"/>
        <v/>
      </c>
    </row>
    <row r="595" spans="41:45" hidden="1">
      <c r="AO595" s="612" t="str">
        <f t="shared" si="81"/>
        <v>blank</v>
      </c>
      <c r="AP595" s="260" t="str">
        <f t="shared" si="82"/>
        <v>blank</v>
      </c>
      <c r="AQ595" s="548" t="str">
        <f t="shared" si="83"/>
        <v/>
      </c>
      <c r="AR595" s="260" t="str">
        <f t="shared" si="84"/>
        <v/>
      </c>
      <c r="AS595" s="260" t="str">
        <f t="shared" si="85"/>
        <v/>
      </c>
    </row>
    <row r="596" spans="41:45" hidden="1">
      <c r="AO596" s="612" t="str">
        <f t="shared" si="81"/>
        <v>blank</v>
      </c>
      <c r="AP596" s="260" t="str">
        <f t="shared" si="82"/>
        <v>blank</v>
      </c>
      <c r="AQ596" s="548" t="str">
        <f t="shared" si="83"/>
        <v/>
      </c>
      <c r="AR596" s="260" t="str">
        <f t="shared" si="84"/>
        <v/>
      </c>
      <c r="AS596" s="260" t="str">
        <f t="shared" si="85"/>
        <v/>
      </c>
    </row>
    <row r="597" spans="41:45" hidden="1">
      <c r="AO597" s="612" t="str">
        <f t="shared" si="81"/>
        <v>blank</v>
      </c>
      <c r="AP597" s="260" t="str">
        <f t="shared" si="82"/>
        <v>blank</v>
      </c>
      <c r="AQ597" s="548" t="str">
        <f t="shared" si="83"/>
        <v/>
      </c>
      <c r="AR597" s="260" t="str">
        <f t="shared" si="84"/>
        <v/>
      </c>
      <c r="AS597" s="260" t="str">
        <f t="shared" si="85"/>
        <v/>
      </c>
    </row>
    <row r="598" spans="41:45" hidden="1">
      <c r="AO598" s="612" t="str">
        <f t="shared" ref="AO598:AO661" si="86">IFERROR(IF(Y598&lt;&gt;"",Y598,"blank"),"NA")</f>
        <v>blank</v>
      </c>
      <c r="AP598" s="260" t="str">
        <f t="shared" ref="AP598:AP661" si="87">IFERROR(IF(N598&lt;&gt;"",N598,"blank"),"NA")</f>
        <v>blank</v>
      </c>
      <c r="AQ598" s="548" t="str">
        <f t="shared" si="83"/>
        <v/>
      </c>
      <c r="AR598" s="260" t="str">
        <f t="shared" si="84"/>
        <v/>
      </c>
      <c r="AS598" s="260" t="str">
        <f t="shared" si="85"/>
        <v/>
      </c>
    </row>
    <row r="599" spans="41:45" hidden="1">
      <c r="AO599" s="612" t="str">
        <f t="shared" si="86"/>
        <v>blank</v>
      </c>
      <c r="AP599" s="260" t="str">
        <f t="shared" si="87"/>
        <v>blank</v>
      </c>
      <c r="AQ599" s="548" t="str">
        <f t="shared" si="83"/>
        <v/>
      </c>
      <c r="AR599" s="260" t="str">
        <f t="shared" si="84"/>
        <v/>
      </c>
      <c r="AS599" s="260" t="str">
        <f t="shared" si="85"/>
        <v/>
      </c>
    </row>
    <row r="600" spans="41:45" hidden="1">
      <c r="AO600" s="612" t="str">
        <f t="shared" si="86"/>
        <v>blank</v>
      </c>
      <c r="AP600" s="260" t="str">
        <f t="shared" si="87"/>
        <v>blank</v>
      </c>
      <c r="AQ600" s="548" t="str">
        <f t="shared" si="83"/>
        <v/>
      </c>
      <c r="AR600" s="260" t="str">
        <f t="shared" si="84"/>
        <v/>
      </c>
      <c r="AS600" s="260" t="str">
        <f t="shared" si="85"/>
        <v/>
      </c>
    </row>
    <row r="601" spans="41:45" hidden="1">
      <c r="AO601" s="612" t="str">
        <f t="shared" si="86"/>
        <v>blank</v>
      </c>
      <c r="AP601" s="260" t="str">
        <f t="shared" si="87"/>
        <v>blank</v>
      </c>
      <c r="AQ601" s="548" t="str">
        <f t="shared" si="83"/>
        <v/>
      </c>
      <c r="AR601" s="260" t="str">
        <f t="shared" si="84"/>
        <v/>
      </c>
      <c r="AS601" s="260" t="str">
        <f t="shared" si="85"/>
        <v/>
      </c>
    </row>
    <row r="602" spans="41:45" hidden="1">
      <c r="AO602" s="612" t="str">
        <f t="shared" si="86"/>
        <v>blank</v>
      </c>
      <c r="AP602" s="260" t="str">
        <f t="shared" si="87"/>
        <v>blank</v>
      </c>
      <c r="AQ602" s="548" t="str">
        <f t="shared" si="83"/>
        <v/>
      </c>
      <c r="AR602" s="260" t="str">
        <f t="shared" si="84"/>
        <v/>
      </c>
      <c r="AS602" s="260" t="str">
        <f t="shared" si="85"/>
        <v/>
      </c>
    </row>
    <row r="603" spans="41:45" hidden="1">
      <c r="AO603" s="612" t="str">
        <f t="shared" si="86"/>
        <v>blank</v>
      </c>
      <c r="AP603" s="260" t="str">
        <f t="shared" si="87"/>
        <v>blank</v>
      </c>
      <c r="AQ603" s="548" t="str">
        <f t="shared" si="83"/>
        <v/>
      </c>
      <c r="AR603" s="260" t="str">
        <f t="shared" si="84"/>
        <v/>
      </c>
      <c r="AS603" s="260" t="str">
        <f t="shared" si="85"/>
        <v/>
      </c>
    </row>
    <row r="604" spans="41:45" hidden="1">
      <c r="AO604" s="612" t="str">
        <f t="shared" si="86"/>
        <v>blank</v>
      </c>
      <c r="AP604" s="260" t="str">
        <f t="shared" si="87"/>
        <v>blank</v>
      </c>
      <c r="AQ604" s="548" t="str">
        <f t="shared" si="83"/>
        <v/>
      </c>
      <c r="AR604" s="260" t="str">
        <f t="shared" si="84"/>
        <v/>
      </c>
      <c r="AS604" s="260" t="str">
        <f t="shared" si="85"/>
        <v/>
      </c>
    </row>
    <row r="605" spans="41:45" hidden="1">
      <c r="AO605" s="612" t="str">
        <f t="shared" si="86"/>
        <v>blank</v>
      </c>
      <c r="AP605" s="260" t="str">
        <f t="shared" si="87"/>
        <v>blank</v>
      </c>
      <c r="AQ605" s="548" t="str">
        <f t="shared" si="83"/>
        <v/>
      </c>
      <c r="AR605" s="260" t="str">
        <f t="shared" si="84"/>
        <v/>
      </c>
      <c r="AS605" s="260" t="str">
        <f t="shared" si="85"/>
        <v/>
      </c>
    </row>
    <row r="606" spans="41:45" hidden="1">
      <c r="AO606" s="612" t="str">
        <f t="shared" si="86"/>
        <v>blank</v>
      </c>
      <c r="AP606" s="260" t="str">
        <f t="shared" si="87"/>
        <v>blank</v>
      </c>
      <c r="AQ606" s="548" t="str">
        <f t="shared" si="83"/>
        <v/>
      </c>
      <c r="AR606" s="260" t="str">
        <f t="shared" si="84"/>
        <v/>
      </c>
      <c r="AS606" s="260" t="str">
        <f t="shared" si="85"/>
        <v/>
      </c>
    </row>
    <row r="607" spans="41:45" hidden="1">
      <c r="AO607" s="612" t="str">
        <f t="shared" si="86"/>
        <v>blank</v>
      </c>
      <c r="AP607" s="260" t="str">
        <f t="shared" si="87"/>
        <v>blank</v>
      </c>
      <c r="AQ607" s="548" t="str">
        <f t="shared" si="83"/>
        <v/>
      </c>
      <c r="AR607" s="260" t="str">
        <f t="shared" si="84"/>
        <v/>
      </c>
      <c r="AS607" s="260" t="str">
        <f t="shared" si="85"/>
        <v/>
      </c>
    </row>
    <row r="608" spans="41:45" hidden="1">
      <c r="AO608" s="612" t="str">
        <f t="shared" si="86"/>
        <v>blank</v>
      </c>
      <c r="AP608" s="260" t="str">
        <f t="shared" si="87"/>
        <v>blank</v>
      </c>
      <c r="AQ608" s="548" t="str">
        <f t="shared" si="83"/>
        <v/>
      </c>
      <c r="AR608" s="260" t="str">
        <f t="shared" si="84"/>
        <v/>
      </c>
      <c r="AS608" s="260" t="str">
        <f t="shared" si="85"/>
        <v/>
      </c>
    </row>
    <row r="609" spans="41:45" hidden="1">
      <c r="AO609" s="612" t="str">
        <f t="shared" si="86"/>
        <v>blank</v>
      </c>
      <c r="AP609" s="260" t="str">
        <f t="shared" si="87"/>
        <v>blank</v>
      </c>
      <c r="AQ609" s="548" t="str">
        <f t="shared" si="83"/>
        <v/>
      </c>
      <c r="AR609" s="260" t="str">
        <f t="shared" si="84"/>
        <v/>
      </c>
      <c r="AS609" s="260" t="str">
        <f t="shared" si="85"/>
        <v/>
      </c>
    </row>
    <row r="610" spans="41:45" hidden="1">
      <c r="AO610" s="612" t="str">
        <f t="shared" si="86"/>
        <v>blank</v>
      </c>
      <c r="AP610" s="260" t="str">
        <f t="shared" si="87"/>
        <v>blank</v>
      </c>
      <c r="AQ610" s="548" t="str">
        <f t="shared" si="83"/>
        <v/>
      </c>
      <c r="AR610" s="260" t="str">
        <f t="shared" si="84"/>
        <v/>
      </c>
      <c r="AS610" s="260" t="str">
        <f t="shared" si="85"/>
        <v/>
      </c>
    </row>
    <row r="611" spans="41:45" hidden="1">
      <c r="AO611" s="612" t="str">
        <f t="shared" si="86"/>
        <v>blank</v>
      </c>
      <c r="AP611" s="260" t="str">
        <f t="shared" si="87"/>
        <v>blank</v>
      </c>
      <c r="AQ611" s="548" t="str">
        <f t="shared" si="83"/>
        <v/>
      </c>
      <c r="AR611" s="260" t="str">
        <f t="shared" si="84"/>
        <v/>
      </c>
      <c r="AS611" s="260" t="str">
        <f t="shared" si="85"/>
        <v/>
      </c>
    </row>
    <row r="612" spans="41:45" hidden="1">
      <c r="AO612" s="612" t="str">
        <f t="shared" si="86"/>
        <v>blank</v>
      </c>
      <c r="AP612" s="260" t="str">
        <f t="shared" si="87"/>
        <v>blank</v>
      </c>
      <c r="AQ612" s="548" t="str">
        <f t="shared" si="83"/>
        <v/>
      </c>
      <c r="AR612" s="260" t="str">
        <f t="shared" si="84"/>
        <v/>
      </c>
      <c r="AS612" s="260" t="str">
        <f t="shared" si="85"/>
        <v/>
      </c>
    </row>
    <row r="613" spans="41:45" hidden="1">
      <c r="AO613" s="612" t="str">
        <f t="shared" si="86"/>
        <v>blank</v>
      </c>
      <c r="AP613" s="260" t="str">
        <f t="shared" si="87"/>
        <v>blank</v>
      </c>
      <c r="AQ613" s="548" t="str">
        <f t="shared" si="83"/>
        <v/>
      </c>
      <c r="AR613" s="260" t="str">
        <f t="shared" si="84"/>
        <v/>
      </c>
      <c r="AS613" s="260" t="str">
        <f t="shared" si="85"/>
        <v/>
      </c>
    </row>
    <row r="614" spans="41:45" hidden="1">
      <c r="AO614" s="612" t="str">
        <f t="shared" si="86"/>
        <v>blank</v>
      </c>
      <c r="AP614" s="260" t="str">
        <f t="shared" si="87"/>
        <v>blank</v>
      </c>
      <c r="AQ614" s="548" t="str">
        <f t="shared" si="83"/>
        <v/>
      </c>
      <c r="AR614" s="260" t="str">
        <f t="shared" si="84"/>
        <v/>
      </c>
      <c r="AS614" s="260" t="str">
        <f t="shared" si="85"/>
        <v/>
      </c>
    </row>
    <row r="615" spans="41:45" hidden="1">
      <c r="AO615" s="612" t="str">
        <f t="shared" si="86"/>
        <v>blank</v>
      </c>
      <c r="AP615" s="260" t="str">
        <f t="shared" si="87"/>
        <v>blank</v>
      </c>
      <c r="AQ615" s="548" t="str">
        <f t="shared" si="83"/>
        <v/>
      </c>
      <c r="AR615" s="260" t="str">
        <f t="shared" si="84"/>
        <v/>
      </c>
      <c r="AS615" s="260" t="str">
        <f t="shared" si="85"/>
        <v/>
      </c>
    </row>
    <row r="616" spans="41:45" hidden="1">
      <c r="AO616" s="612" t="str">
        <f t="shared" si="86"/>
        <v>blank</v>
      </c>
      <c r="AP616" s="260" t="str">
        <f t="shared" si="87"/>
        <v>blank</v>
      </c>
      <c r="AQ616" s="548" t="str">
        <f t="shared" si="83"/>
        <v/>
      </c>
      <c r="AR616" s="260" t="str">
        <f t="shared" si="84"/>
        <v/>
      </c>
      <c r="AS616" s="260" t="str">
        <f t="shared" si="85"/>
        <v/>
      </c>
    </row>
    <row r="617" spans="41:45" hidden="1">
      <c r="AO617" s="612" t="str">
        <f t="shared" si="86"/>
        <v>blank</v>
      </c>
      <c r="AP617" s="260" t="str">
        <f t="shared" si="87"/>
        <v>blank</v>
      </c>
      <c r="AQ617" s="548" t="str">
        <f t="shared" si="83"/>
        <v/>
      </c>
      <c r="AR617" s="260" t="str">
        <f t="shared" si="84"/>
        <v/>
      </c>
      <c r="AS617" s="260" t="str">
        <f t="shared" si="85"/>
        <v/>
      </c>
    </row>
    <row r="618" spans="41:45" hidden="1">
      <c r="AO618" s="612" t="str">
        <f t="shared" si="86"/>
        <v>blank</v>
      </c>
      <c r="AP618" s="260" t="str">
        <f t="shared" si="87"/>
        <v>blank</v>
      </c>
      <c r="AQ618" s="548" t="str">
        <f t="shared" si="83"/>
        <v/>
      </c>
      <c r="AR618" s="260" t="str">
        <f t="shared" si="84"/>
        <v/>
      </c>
      <c r="AS618" s="260" t="str">
        <f t="shared" si="85"/>
        <v/>
      </c>
    </row>
    <row r="619" spans="41:45" hidden="1">
      <c r="AO619" s="612" t="str">
        <f t="shared" si="86"/>
        <v>blank</v>
      </c>
      <c r="AP619" s="260" t="str">
        <f t="shared" si="87"/>
        <v>blank</v>
      </c>
      <c r="AQ619" s="548" t="str">
        <f t="shared" si="83"/>
        <v/>
      </c>
      <c r="AR619" s="260" t="str">
        <f t="shared" si="84"/>
        <v/>
      </c>
      <c r="AS619" s="260" t="str">
        <f t="shared" si="85"/>
        <v/>
      </c>
    </row>
    <row r="620" spans="41:45" hidden="1">
      <c r="AO620" s="612" t="str">
        <f t="shared" si="86"/>
        <v>blank</v>
      </c>
      <c r="AP620" s="260" t="str">
        <f t="shared" si="87"/>
        <v>blank</v>
      </c>
      <c r="AQ620" s="548" t="str">
        <f t="shared" si="83"/>
        <v/>
      </c>
      <c r="AR620" s="260" t="str">
        <f t="shared" si="84"/>
        <v/>
      </c>
      <c r="AS620" s="260" t="str">
        <f t="shared" si="85"/>
        <v/>
      </c>
    </row>
    <row r="621" spans="41:45" hidden="1">
      <c r="AO621" s="612" t="str">
        <f t="shared" si="86"/>
        <v>blank</v>
      </c>
      <c r="AP621" s="260" t="str">
        <f t="shared" si="87"/>
        <v>blank</v>
      </c>
      <c r="AQ621" s="548" t="str">
        <f t="shared" si="83"/>
        <v/>
      </c>
      <c r="AR621" s="260" t="str">
        <f t="shared" si="84"/>
        <v/>
      </c>
      <c r="AS621" s="260" t="str">
        <f t="shared" si="85"/>
        <v/>
      </c>
    </row>
    <row r="622" spans="41:45" hidden="1">
      <c r="AO622" s="612" t="str">
        <f t="shared" si="86"/>
        <v>blank</v>
      </c>
      <c r="AP622" s="260" t="str">
        <f t="shared" si="87"/>
        <v>blank</v>
      </c>
      <c r="AQ622" s="548" t="str">
        <f t="shared" si="83"/>
        <v/>
      </c>
      <c r="AR622" s="260" t="str">
        <f t="shared" si="84"/>
        <v/>
      </c>
      <c r="AS622" s="260" t="str">
        <f t="shared" si="85"/>
        <v/>
      </c>
    </row>
    <row r="623" spans="41:45" hidden="1">
      <c r="AO623" s="612" t="str">
        <f t="shared" si="86"/>
        <v>blank</v>
      </c>
      <c r="AP623" s="260" t="str">
        <f t="shared" si="87"/>
        <v>blank</v>
      </c>
      <c r="AQ623" s="548" t="str">
        <f t="shared" si="83"/>
        <v/>
      </c>
      <c r="AR623" s="260" t="str">
        <f t="shared" si="84"/>
        <v/>
      </c>
      <c r="AS623" s="260" t="str">
        <f t="shared" si="85"/>
        <v/>
      </c>
    </row>
    <row r="624" spans="41:45" hidden="1">
      <c r="AO624" s="612" t="str">
        <f t="shared" si="86"/>
        <v>blank</v>
      </c>
      <c r="AP624" s="260" t="str">
        <f t="shared" si="87"/>
        <v>blank</v>
      </c>
      <c r="AQ624" s="548" t="str">
        <f t="shared" si="83"/>
        <v/>
      </c>
      <c r="AR624" s="260" t="str">
        <f t="shared" si="84"/>
        <v/>
      </c>
      <c r="AS624" s="260" t="str">
        <f t="shared" si="85"/>
        <v/>
      </c>
    </row>
    <row r="625" spans="41:45" hidden="1">
      <c r="AO625" s="612" t="str">
        <f t="shared" si="86"/>
        <v>blank</v>
      </c>
      <c r="AP625" s="260" t="str">
        <f t="shared" si="87"/>
        <v>blank</v>
      </c>
      <c r="AQ625" s="548" t="str">
        <f t="shared" si="83"/>
        <v/>
      </c>
      <c r="AR625" s="260" t="str">
        <f t="shared" si="84"/>
        <v/>
      </c>
      <c r="AS625" s="260" t="str">
        <f t="shared" si="85"/>
        <v/>
      </c>
    </row>
    <row r="626" spans="41:45" hidden="1">
      <c r="AO626" s="612" t="str">
        <f t="shared" si="86"/>
        <v>blank</v>
      </c>
      <c r="AP626" s="260" t="str">
        <f t="shared" si="87"/>
        <v>blank</v>
      </c>
      <c r="AQ626" s="548" t="str">
        <f t="shared" si="83"/>
        <v/>
      </c>
      <c r="AR626" s="260" t="str">
        <f t="shared" si="84"/>
        <v/>
      </c>
      <c r="AS626" s="260" t="str">
        <f t="shared" si="85"/>
        <v/>
      </c>
    </row>
    <row r="627" spans="41:45" hidden="1">
      <c r="AO627" s="612" t="str">
        <f t="shared" si="86"/>
        <v>blank</v>
      </c>
      <c r="AP627" s="260" t="str">
        <f t="shared" si="87"/>
        <v>blank</v>
      </c>
      <c r="AQ627" s="548" t="str">
        <f t="shared" si="83"/>
        <v/>
      </c>
      <c r="AR627" s="260" t="str">
        <f t="shared" si="84"/>
        <v/>
      </c>
      <c r="AS627" s="260" t="str">
        <f t="shared" si="85"/>
        <v/>
      </c>
    </row>
    <row r="628" spans="41:45" hidden="1">
      <c r="AO628" s="612" t="str">
        <f t="shared" si="86"/>
        <v>blank</v>
      </c>
      <c r="AP628" s="260" t="str">
        <f t="shared" si="87"/>
        <v>blank</v>
      </c>
      <c r="AQ628" s="548" t="str">
        <f t="shared" si="83"/>
        <v/>
      </c>
      <c r="AR628" s="260" t="str">
        <f t="shared" si="84"/>
        <v/>
      </c>
      <c r="AS628" s="260" t="str">
        <f t="shared" si="85"/>
        <v/>
      </c>
    </row>
    <row r="629" spans="41:45" hidden="1">
      <c r="AO629" s="612" t="str">
        <f t="shared" si="86"/>
        <v>blank</v>
      </c>
      <c r="AP629" s="260" t="str">
        <f t="shared" si="87"/>
        <v>blank</v>
      </c>
      <c r="AQ629" s="548" t="str">
        <f t="shared" si="83"/>
        <v/>
      </c>
      <c r="AR629" s="260" t="str">
        <f t="shared" si="84"/>
        <v/>
      </c>
      <c r="AS629" s="260" t="str">
        <f t="shared" si="85"/>
        <v/>
      </c>
    </row>
    <row r="630" spans="41:45" hidden="1">
      <c r="AO630" s="612" t="str">
        <f t="shared" si="86"/>
        <v>blank</v>
      </c>
      <c r="AP630" s="260" t="str">
        <f t="shared" si="87"/>
        <v>blank</v>
      </c>
      <c r="AQ630" s="548" t="str">
        <f t="shared" si="83"/>
        <v/>
      </c>
      <c r="AR630" s="260" t="str">
        <f t="shared" si="84"/>
        <v/>
      </c>
      <c r="AS630" s="260" t="str">
        <f t="shared" si="85"/>
        <v/>
      </c>
    </row>
    <row r="631" spans="41:45" hidden="1">
      <c r="AO631" s="612" t="str">
        <f t="shared" si="86"/>
        <v>blank</v>
      </c>
      <c r="AP631" s="260" t="str">
        <f t="shared" si="87"/>
        <v>blank</v>
      </c>
      <c r="AQ631" s="548" t="str">
        <f t="shared" si="83"/>
        <v/>
      </c>
      <c r="AR631" s="260" t="str">
        <f t="shared" si="84"/>
        <v/>
      </c>
      <c r="AS631" s="260" t="str">
        <f t="shared" si="85"/>
        <v/>
      </c>
    </row>
    <row r="632" spans="41:45" hidden="1">
      <c r="AO632" s="612" t="str">
        <f t="shared" si="86"/>
        <v>blank</v>
      </c>
      <c r="AP632" s="260" t="str">
        <f t="shared" si="87"/>
        <v>blank</v>
      </c>
      <c r="AQ632" s="548" t="str">
        <f t="shared" si="83"/>
        <v/>
      </c>
      <c r="AR632" s="260" t="str">
        <f t="shared" si="84"/>
        <v/>
      </c>
      <c r="AS632" s="260" t="str">
        <f t="shared" si="85"/>
        <v/>
      </c>
    </row>
    <row r="633" spans="41:45" hidden="1">
      <c r="AO633" s="612" t="str">
        <f t="shared" si="86"/>
        <v>blank</v>
      </c>
      <c r="AP633" s="260" t="str">
        <f t="shared" si="87"/>
        <v>blank</v>
      </c>
      <c r="AQ633" s="548" t="str">
        <f t="shared" si="83"/>
        <v/>
      </c>
      <c r="AR633" s="260" t="str">
        <f t="shared" si="84"/>
        <v/>
      </c>
      <c r="AS633" s="260" t="str">
        <f t="shared" si="85"/>
        <v/>
      </c>
    </row>
    <row r="634" spans="41:45" hidden="1">
      <c r="AO634" s="612" t="str">
        <f t="shared" si="86"/>
        <v>blank</v>
      </c>
      <c r="AP634" s="260" t="str">
        <f t="shared" si="87"/>
        <v>blank</v>
      </c>
      <c r="AQ634" s="548" t="str">
        <f t="shared" si="83"/>
        <v/>
      </c>
      <c r="AR634" s="260" t="str">
        <f t="shared" si="84"/>
        <v/>
      </c>
      <c r="AS634" s="260" t="str">
        <f t="shared" si="85"/>
        <v/>
      </c>
    </row>
    <row r="635" spans="41:45" hidden="1">
      <c r="AO635" s="612" t="str">
        <f t="shared" si="86"/>
        <v>blank</v>
      </c>
      <c r="AP635" s="260" t="str">
        <f t="shared" si="87"/>
        <v>blank</v>
      </c>
      <c r="AQ635" s="548" t="str">
        <f t="shared" si="83"/>
        <v/>
      </c>
      <c r="AR635" s="260" t="str">
        <f t="shared" si="84"/>
        <v/>
      </c>
      <c r="AS635" s="260" t="str">
        <f t="shared" si="85"/>
        <v/>
      </c>
    </row>
    <row r="636" spans="41:45" hidden="1">
      <c r="AO636" s="612" t="str">
        <f t="shared" si="86"/>
        <v>blank</v>
      </c>
      <c r="AP636" s="260" t="str">
        <f t="shared" si="87"/>
        <v>blank</v>
      </c>
      <c r="AQ636" s="548" t="str">
        <f t="shared" si="83"/>
        <v/>
      </c>
      <c r="AR636" s="260" t="str">
        <f t="shared" si="84"/>
        <v/>
      </c>
      <c r="AS636" s="260" t="str">
        <f t="shared" si="85"/>
        <v/>
      </c>
    </row>
    <row r="637" spans="41:45" hidden="1">
      <c r="AO637" s="612" t="str">
        <f t="shared" si="86"/>
        <v>blank</v>
      </c>
      <c r="AP637" s="260" t="str">
        <f t="shared" si="87"/>
        <v>blank</v>
      </c>
      <c r="AQ637" s="548" t="str">
        <f t="shared" si="83"/>
        <v/>
      </c>
      <c r="AR637" s="260" t="str">
        <f t="shared" si="84"/>
        <v/>
      </c>
      <c r="AS637" s="260" t="str">
        <f t="shared" si="85"/>
        <v/>
      </c>
    </row>
    <row r="638" spans="41:45" hidden="1">
      <c r="AO638" s="612" t="str">
        <f t="shared" si="86"/>
        <v>blank</v>
      </c>
      <c r="AP638" s="260" t="str">
        <f t="shared" si="87"/>
        <v>blank</v>
      </c>
      <c r="AQ638" s="548" t="str">
        <f t="shared" si="83"/>
        <v/>
      </c>
      <c r="AR638" s="260" t="str">
        <f t="shared" si="84"/>
        <v/>
      </c>
      <c r="AS638" s="260" t="str">
        <f t="shared" si="85"/>
        <v/>
      </c>
    </row>
    <row r="639" spans="41:45" hidden="1">
      <c r="AO639" s="612" t="str">
        <f t="shared" si="86"/>
        <v>blank</v>
      </c>
      <c r="AP639" s="260" t="str">
        <f t="shared" si="87"/>
        <v>blank</v>
      </c>
      <c r="AQ639" s="548" t="str">
        <f t="shared" si="83"/>
        <v/>
      </c>
      <c r="AR639" s="260" t="str">
        <f t="shared" si="84"/>
        <v/>
      </c>
      <c r="AS639" s="260" t="str">
        <f t="shared" si="85"/>
        <v/>
      </c>
    </row>
    <row r="640" spans="41:45" hidden="1">
      <c r="AO640" s="612" t="str">
        <f t="shared" si="86"/>
        <v>blank</v>
      </c>
      <c r="AP640" s="260" t="str">
        <f t="shared" si="87"/>
        <v>blank</v>
      </c>
      <c r="AQ640" s="548" t="str">
        <f t="shared" si="83"/>
        <v/>
      </c>
      <c r="AR640" s="260" t="str">
        <f t="shared" si="84"/>
        <v/>
      </c>
      <c r="AS640" s="260" t="str">
        <f t="shared" si="85"/>
        <v/>
      </c>
    </row>
    <row r="641" spans="41:45" hidden="1">
      <c r="AO641" s="612" t="str">
        <f t="shared" si="86"/>
        <v>blank</v>
      </c>
      <c r="AP641" s="260" t="str">
        <f t="shared" si="87"/>
        <v>blank</v>
      </c>
      <c r="AQ641" s="548" t="str">
        <f t="shared" si="83"/>
        <v/>
      </c>
      <c r="AR641" s="260" t="str">
        <f t="shared" si="84"/>
        <v/>
      </c>
      <c r="AS641" s="260" t="str">
        <f t="shared" si="85"/>
        <v/>
      </c>
    </row>
    <row r="642" spans="41:45" hidden="1">
      <c r="AO642" s="612" t="str">
        <f t="shared" si="86"/>
        <v>blank</v>
      </c>
      <c r="AP642" s="260" t="str">
        <f t="shared" si="87"/>
        <v>blank</v>
      </c>
      <c r="AQ642" s="548" t="str">
        <f t="shared" si="83"/>
        <v/>
      </c>
      <c r="AR642" s="260" t="str">
        <f t="shared" si="84"/>
        <v/>
      </c>
      <c r="AS642" s="260" t="str">
        <f t="shared" si="85"/>
        <v/>
      </c>
    </row>
    <row r="643" spans="41:45" hidden="1">
      <c r="AO643" s="612" t="str">
        <f t="shared" si="86"/>
        <v>blank</v>
      </c>
      <c r="AP643" s="260" t="str">
        <f t="shared" si="87"/>
        <v>blank</v>
      </c>
      <c r="AQ643" s="548" t="str">
        <f t="shared" ref="AQ643:AQ706" si="88">IFERROR(IF(AND(AO643="Yes", AP643&lt;&gt;"blank"), "有定金+客戶送貨期", IF(AND(AO643="Yes", AP643="blank"), "有定金+无客戶送貨期", IF(AND(OR(AO643="No", ISBLANK(AO643), AO643="NA"), AP643&lt;&gt;"blank"), "无定金+有客戶送貨期", IF(AND(OR(AO643="No", ISBLANK(AO643), AO643="NA"), AP643="blank"), "无定金+无客戶送貨期", "")))), "")</f>
        <v/>
      </c>
      <c r="AR643" s="260" t="str">
        <f t="shared" ref="AR643:AR706" si="89">IFERROR(IF(B643="已经到货", "Instock", IF(B643="有交期", "Incoming_Stock_With_YAMAHA_Schedule", IF(B643="TBA.", "Incoming_Stock_No_YAMAHA_Schedule", IF(B643="已发货", "Shipped_Stock", "")))), "")</f>
        <v/>
      </c>
      <c r="AS643" s="260" t="str">
        <f t="shared" ref="AS643:AS706" si="90">IF(AND(B643="有交期", L643&lt;&gt;""), L643, "")</f>
        <v/>
      </c>
    </row>
    <row r="644" spans="41:45" hidden="1">
      <c r="AO644" s="612" t="str">
        <f t="shared" si="86"/>
        <v>blank</v>
      </c>
      <c r="AP644" s="260" t="str">
        <f t="shared" si="87"/>
        <v>blank</v>
      </c>
      <c r="AQ644" s="548" t="str">
        <f t="shared" si="88"/>
        <v/>
      </c>
      <c r="AR644" s="260" t="str">
        <f t="shared" si="89"/>
        <v/>
      </c>
      <c r="AS644" s="260" t="str">
        <f t="shared" si="90"/>
        <v/>
      </c>
    </row>
    <row r="645" spans="41:45" hidden="1">
      <c r="AO645" s="612" t="str">
        <f t="shared" si="86"/>
        <v>blank</v>
      </c>
      <c r="AP645" s="260" t="str">
        <f t="shared" si="87"/>
        <v>blank</v>
      </c>
      <c r="AQ645" s="548" t="str">
        <f t="shared" si="88"/>
        <v/>
      </c>
      <c r="AR645" s="260" t="str">
        <f t="shared" si="89"/>
        <v/>
      </c>
      <c r="AS645" s="260" t="str">
        <f t="shared" si="90"/>
        <v/>
      </c>
    </row>
    <row r="646" spans="41:45" hidden="1">
      <c r="AO646" s="612" t="str">
        <f t="shared" si="86"/>
        <v>blank</v>
      </c>
      <c r="AP646" s="260" t="str">
        <f t="shared" si="87"/>
        <v>blank</v>
      </c>
      <c r="AQ646" s="548" t="str">
        <f t="shared" si="88"/>
        <v/>
      </c>
      <c r="AR646" s="260" t="str">
        <f t="shared" si="89"/>
        <v/>
      </c>
      <c r="AS646" s="260" t="str">
        <f t="shared" si="90"/>
        <v/>
      </c>
    </row>
    <row r="647" spans="41:45" hidden="1">
      <c r="AO647" s="612" t="str">
        <f t="shared" si="86"/>
        <v>blank</v>
      </c>
      <c r="AP647" s="260" t="str">
        <f t="shared" si="87"/>
        <v>blank</v>
      </c>
      <c r="AQ647" s="548" t="str">
        <f t="shared" si="88"/>
        <v/>
      </c>
      <c r="AR647" s="260" t="str">
        <f t="shared" si="89"/>
        <v/>
      </c>
      <c r="AS647" s="260" t="str">
        <f t="shared" si="90"/>
        <v/>
      </c>
    </row>
    <row r="648" spans="41:45" hidden="1">
      <c r="AO648" s="612" t="str">
        <f t="shared" si="86"/>
        <v>blank</v>
      </c>
      <c r="AP648" s="260" t="str">
        <f t="shared" si="87"/>
        <v>blank</v>
      </c>
      <c r="AQ648" s="548" t="str">
        <f t="shared" si="88"/>
        <v/>
      </c>
      <c r="AR648" s="260" t="str">
        <f t="shared" si="89"/>
        <v/>
      </c>
      <c r="AS648" s="260" t="str">
        <f t="shared" si="90"/>
        <v/>
      </c>
    </row>
    <row r="649" spans="41:45" hidden="1">
      <c r="AO649" s="612" t="str">
        <f t="shared" si="86"/>
        <v>blank</v>
      </c>
      <c r="AP649" s="260" t="str">
        <f t="shared" si="87"/>
        <v>blank</v>
      </c>
      <c r="AQ649" s="548" t="str">
        <f t="shared" si="88"/>
        <v/>
      </c>
      <c r="AR649" s="260" t="str">
        <f t="shared" si="89"/>
        <v/>
      </c>
      <c r="AS649" s="260" t="str">
        <f t="shared" si="90"/>
        <v/>
      </c>
    </row>
    <row r="650" spans="41:45" hidden="1">
      <c r="AO650" s="612" t="str">
        <f t="shared" si="86"/>
        <v>blank</v>
      </c>
      <c r="AP650" s="260" t="str">
        <f t="shared" si="87"/>
        <v>blank</v>
      </c>
      <c r="AQ650" s="548" t="str">
        <f t="shared" si="88"/>
        <v/>
      </c>
      <c r="AR650" s="260" t="str">
        <f t="shared" si="89"/>
        <v/>
      </c>
      <c r="AS650" s="260" t="str">
        <f t="shared" si="90"/>
        <v/>
      </c>
    </row>
    <row r="651" spans="41:45" hidden="1">
      <c r="AO651" s="612" t="str">
        <f t="shared" si="86"/>
        <v>blank</v>
      </c>
      <c r="AP651" s="260" t="str">
        <f t="shared" si="87"/>
        <v>blank</v>
      </c>
      <c r="AQ651" s="548" t="str">
        <f t="shared" si="88"/>
        <v/>
      </c>
      <c r="AR651" s="260" t="str">
        <f t="shared" si="89"/>
        <v/>
      </c>
      <c r="AS651" s="260" t="str">
        <f t="shared" si="90"/>
        <v/>
      </c>
    </row>
    <row r="652" spans="41:45" hidden="1">
      <c r="AO652" s="612" t="str">
        <f t="shared" si="86"/>
        <v>blank</v>
      </c>
      <c r="AP652" s="260" t="str">
        <f t="shared" si="87"/>
        <v>blank</v>
      </c>
      <c r="AQ652" s="548" t="str">
        <f t="shared" si="88"/>
        <v/>
      </c>
      <c r="AR652" s="260" t="str">
        <f t="shared" si="89"/>
        <v/>
      </c>
      <c r="AS652" s="260" t="str">
        <f t="shared" si="90"/>
        <v/>
      </c>
    </row>
    <row r="653" spans="41:45" hidden="1">
      <c r="AO653" s="612" t="str">
        <f t="shared" si="86"/>
        <v>blank</v>
      </c>
      <c r="AP653" s="260" t="str">
        <f t="shared" si="87"/>
        <v>blank</v>
      </c>
      <c r="AQ653" s="548" t="str">
        <f t="shared" si="88"/>
        <v/>
      </c>
      <c r="AR653" s="260" t="str">
        <f t="shared" si="89"/>
        <v/>
      </c>
      <c r="AS653" s="260" t="str">
        <f t="shared" si="90"/>
        <v/>
      </c>
    </row>
    <row r="654" spans="41:45" hidden="1">
      <c r="AO654" s="612" t="str">
        <f t="shared" si="86"/>
        <v>blank</v>
      </c>
      <c r="AP654" s="260" t="str">
        <f t="shared" si="87"/>
        <v>blank</v>
      </c>
      <c r="AQ654" s="548" t="str">
        <f t="shared" si="88"/>
        <v/>
      </c>
      <c r="AR654" s="260" t="str">
        <f t="shared" si="89"/>
        <v/>
      </c>
      <c r="AS654" s="260" t="str">
        <f t="shared" si="90"/>
        <v/>
      </c>
    </row>
    <row r="655" spans="41:45" hidden="1">
      <c r="AO655" s="612" t="str">
        <f t="shared" si="86"/>
        <v>blank</v>
      </c>
      <c r="AP655" s="260" t="str">
        <f t="shared" si="87"/>
        <v>blank</v>
      </c>
      <c r="AQ655" s="548" t="str">
        <f t="shared" si="88"/>
        <v/>
      </c>
      <c r="AR655" s="260" t="str">
        <f t="shared" si="89"/>
        <v/>
      </c>
      <c r="AS655" s="260" t="str">
        <f t="shared" si="90"/>
        <v/>
      </c>
    </row>
    <row r="656" spans="41:45" hidden="1">
      <c r="AO656" s="612" t="str">
        <f t="shared" si="86"/>
        <v>blank</v>
      </c>
      <c r="AP656" s="260" t="str">
        <f t="shared" si="87"/>
        <v>blank</v>
      </c>
      <c r="AQ656" s="548" t="str">
        <f t="shared" si="88"/>
        <v/>
      </c>
      <c r="AR656" s="260" t="str">
        <f t="shared" si="89"/>
        <v/>
      </c>
      <c r="AS656" s="260" t="str">
        <f t="shared" si="90"/>
        <v/>
      </c>
    </row>
    <row r="657" spans="41:45" hidden="1">
      <c r="AO657" s="612" t="str">
        <f t="shared" si="86"/>
        <v>blank</v>
      </c>
      <c r="AP657" s="260" t="str">
        <f t="shared" si="87"/>
        <v>blank</v>
      </c>
      <c r="AQ657" s="548" t="str">
        <f t="shared" si="88"/>
        <v/>
      </c>
      <c r="AR657" s="260" t="str">
        <f t="shared" si="89"/>
        <v/>
      </c>
      <c r="AS657" s="260" t="str">
        <f t="shared" si="90"/>
        <v/>
      </c>
    </row>
    <row r="658" spans="41:45" hidden="1">
      <c r="AO658" s="612" t="str">
        <f t="shared" si="86"/>
        <v>blank</v>
      </c>
      <c r="AP658" s="260" t="str">
        <f t="shared" si="87"/>
        <v>blank</v>
      </c>
      <c r="AQ658" s="548" t="str">
        <f t="shared" si="88"/>
        <v/>
      </c>
      <c r="AR658" s="260" t="str">
        <f t="shared" si="89"/>
        <v/>
      </c>
      <c r="AS658" s="260" t="str">
        <f t="shared" si="90"/>
        <v/>
      </c>
    </row>
    <row r="659" spans="41:45" hidden="1">
      <c r="AO659" s="612" t="str">
        <f t="shared" si="86"/>
        <v>blank</v>
      </c>
      <c r="AP659" s="260" t="str">
        <f t="shared" si="87"/>
        <v>blank</v>
      </c>
      <c r="AQ659" s="548" t="str">
        <f t="shared" si="88"/>
        <v/>
      </c>
      <c r="AR659" s="260" t="str">
        <f t="shared" si="89"/>
        <v/>
      </c>
      <c r="AS659" s="260" t="str">
        <f t="shared" si="90"/>
        <v/>
      </c>
    </row>
    <row r="660" spans="41:45" hidden="1">
      <c r="AO660" s="612" t="str">
        <f t="shared" si="86"/>
        <v>blank</v>
      </c>
      <c r="AP660" s="260" t="str">
        <f t="shared" si="87"/>
        <v>blank</v>
      </c>
      <c r="AQ660" s="548" t="str">
        <f t="shared" si="88"/>
        <v/>
      </c>
      <c r="AR660" s="260" t="str">
        <f t="shared" si="89"/>
        <v/>
      </c>
      <c r="AS660" s="260" t="str">
        <f t="shared" si="90"/>
        <v/>
      </c>
    </row>
    <row r="661" spans="41:45" hidden="1">
      <c r="AO661" s="612" t="str">
        <f t="shared" si="86"/>
        <v>blank</v>
      </c>
      <c r="AP661" s="260" t="str">
        <f t="shared" si="87"/>
        <v>blank</v>
      </c>
      <c r="AQ661" s="548" t="str">
        <f t="shared" si="88"/>
        <v/>
      </c>
      <c r="AR661" s="260" t="str">
        <f t="shared" si="89"/>
        <v/>
      </c>
      <c r="AS661" s="260" t="str">
        <f t="shared" si="90"/>
        <v/>
      </c>
    </row>
    <row r="662" spans="41:45" hidden="1">
      <c r="AO662" s="612" t="str">
        <f t="shared" ref="AO662:AO725" si="91">IFERROR(IF(Y662&lt;&gt;"",Y662,"blank"),"NA")</f>
        <v>blank</v>
      </c>
      <c r="AP662" s="260" t="str">
        <f t="shared" ref="AP662:AP725" si="92">IFERROR(IF(N662&lt;&gt;"",N662,"blank"),"NA")</f>
        <v>blank</v>
      </c>
      <c r="AQ662" s="548" t="str">
        <f t="shared" si="88"/>
        <v/>
      </c>
      <c r="AR662" s="260" t="str">
        <f t="shared" si="89"/>
        <v/>
      </c>
      <c r="AS662" s="260" t="str">
        <f t="shared" si="90"/>
        <v/>
      </c>
    </row>
    <row r="663" spans="41:45" hidden="1">
      <c r="AO663" s="612" t="str">
        <f t="shared" si="91"/>
        <v>blank</v>
      </c>
      <c r="AP663" s="260" t="str">
        <f t="shared" si="92"/>
        <v>blank</v>
      </c>
      <c r="AQ663" s="548" t="str">
        <f t="shared" si="88"/>
        <v/>
      </c>
      <c r="AR663" s="260" t="str">
        <f t="shared" si="89"/>
        <v/>
      </c>
      <c r="AS663" s="260" t="str">
        <f t="shared" si="90"/>
        <v/>
      </c>
    </row>
    <row r="664" spans="41:45" hidden="1">
      <c r="AO664" s="612" t="str">
        <f t="shared" si="91"/>
        <v>blank</v>
      </c>
      <c r="AP664" s="260" t="str">
        <f t="shared" si="92"/>
        <v>blank</v>
      </c>
      <c r="AQ664" s="548" t="str">
        <f t="shared" si="88"/>
        <v/>
      </c>
      <c r="AR664" s="260" t="str">
        <f t="shared" si="89"/>
        <v/>
      </c>
      <c r="AS664" s="260" t="str">
        <f t="shared" si="90"/>
        <v/>
      </c>
    </row>
    <row r="665" spans="41:45" hidden="1">
      <c r="AO665" s="612" t="str">
        <f t="shared" si="91"/>
        <v>blank</v>
      </c>
      <c r="AP665" s="260" t="str">
        <f t="shared" si="92"/>
        <v>blank</v>
      </c>
      <c r="AQ665" s="548" t="str">
        <f t="shared" si="88"/>
        <v/>
      </c>
      <c r="AR665" s="260" t="str">
        <f t="shared" si="89"/>
        <v/>
      </c>
      <c r="AS665" s="260" t="str">
        <f t="shared" si="90"/>
        <v/>
      </c>
    </row>
    <row r="666" spans="41:45" hidden="1">
      <c r="AO666" s="612" t="str">
        <f t="shared" si="91"/>
        <v>blank</v>
      </c>
      <c r="AP666" s="260" t="str">
        <f t="shared" si="92"/>
        <v>blank</v>
      </c>
      <c r="AQ666" s="548" t="str">
        <f t="shared" si="88"/>
        <v/>
      </c>
      <c r="AR666" s="260" t="str">
        <f t="shared" si="89"/>
        <v/>
      </c>
      <c r="AS666" s="260" t="str">
        <f t="shared" si="90"/>
        <v/>
      </c>
    </row>
    <row r="667" spans="41:45" hidden="1">
      <c r="AO667" s="612" t="str">
        <f t="shared" si="91"/>
        <v>blank</v>
      </c>
      <c r="AP667" s="260" t="str">
        <f t="shared" si="92"/>
        <v>blank</v>
      </c>
      <c r="AQ667" s="548" t="str">
        <f t="shared" si="88"/>
        <v/>
      </c>
      <c r="AR667" s="260" t="str">
        <f t="shared" si="89"/>
        <v/>
      </c>
      <c r="AS667" s="260" t="str">
        <f t="shared" si="90"/>
        <v/>
      </c>
    </row>
    <row r="668" spans="41:45" hidden="1">
      <c r="AO668" s="612" t="str">
        <f t="shared" si="91"/>
        <v>blank</v>
      </c>
      <c r="AP668" s="260" t="str">
        <f t="shared" si="92"/>
        <v>blank</v>
      </c>
      <c r="AQ668" s="548" t="str">
        <f t="shared" si="88"/>
        <v/>
      </c>
      <c r="AR668" s="260" t="str">
        <f t="shared" si="89"/>
        <v/>
      </c>
      <c r="AS668" s="260" t="str">
        <f t="shared" si="90"/>
        <v/>
      </c>
    </row>
    <row r="669" spans="41:45" hidden="1">
      <c r="AO669" s="612" t="str">
        <f t="shared" si="91"/>
        <v>blank</v>
      </c>
      <c r="AP669" s="260" t="str">
        <f t="shared" si="92"/>
        <v>blank</v>
      </c>
      <c r="AQ669" s="548" t="str">
        <f t="shared" si="88"/>
        <v/>
      </c>
      <c r="AR669" s="260" t="str">
        <f t="shared" si="89"/>
        <v/>
      </c>
      <c r="AS669" s="260" t="str">
        <f t="shared" si="90"/>
        <v/>
      </c>
    </row>
    <row r="670" spans="41:45" hidden="1">
      <c r="AO670" s="612" t="str">
        <f t="shared" si="91"/>
        <v>blank</v>
      </c>
      <c r="AP670" s="260" t="str">
        <f t="shared" si="92"/>
        <v>blank</v>
      </c>
      <c r="AQ670" s="548" t="str">
        <f t="shared" si="88"/>
        <v/>
      </c>
      <c r="AR670" s="260" t="str">
        <f t="shared" si="89"/>
        <v/>
      </c>
      <c r="AS670" s="260" t="str">
        <f t="shared" si="90"/>
        <v/>
      </c>
    </row>
    <row r="671" spans="41:45" hidden="1">
      <c r="AO671" s="612" t="str">
        <f t="shared" si="91"/>
        <v>blank</v>
      </c>
      <c r="AP671" s="260" t="str">
        <f t="shared" si="92"/>
        <v>blank</v>
      </c>
      <c r="AQ671" s="548" t="str">
        <f t="shared" si="88"/>
        <v/>
      </c>
      <c r="AR671" s="260" t="str">
        <f t="shared" si="89"/>
        <v/>
      </c>
      <c r="AS671" s="260" t="str">
        <f t="shared" si="90"/>
        <v/>
      </c>
    </row>
    <row r="672" spans="41:45" hidden="1">
      <c r="AO672" s="612" t="str">
        <f t="shared" si="91"/>
        <v>blank</v>
      </c>
      <c r="AP672" s="260" t="str">
        <f t="shared" si="92"/>
        <v>blank</v>
      </c>
      <c r="AQ672" s="548" t="str">
        <f t="shared" si="88"/>
        <v/>
      </c>
      <c r="AR672" s="260" t="str">
        <f t="shared" si="89"/>
        <v/>
      </c>
      <c r="AS672" s="260" t="str">
        <f t="shared" si="90"/>
        <v/>
      </c>
    </row>
    <row r="673" spans="41:45" hidden="1">
      <c r="AO673" s="612" t="str">
        <f t="shared" si="91"/>
        <v>blank</v>
      </c>
      <c r="AP673" s="260" t="str">
        <f t="shared" si="92"/>
        <v>blank</v>
      </c>
      <c r="AQ673" s="548" t="str">
        <f t="shared" si="88"/>
        <v/>
      </c>
      <c r="AR673" s="260" t="str">
        <f t="shared" si="89"/>
        <v/>
      </c>
      <c r="AS673" s="260" t="str">
        <f t="shared" si="90"/>
        <v/>
      </c>
    </row>
    <row r="674" spans="41:45" hidden="1">
      <c r="AO674" s="612" t="str">
        <f t="shared" si="91"/>
        <v>blank</v>
      </c>
      <c r="AP674" s="260" t="str">
        <f t="shared" si="92"/>
        <v>blank</v>
      </c>
      <c r="AQ674" s="548" t="str">
        <f t="shared" si="88"/>
        <v/>
      </c>
      <c r="AR674" s="260" t="str">
        <f t="shared" si="89"/>
        <v/>
      </c>
      <c r="AS674" s="260" t="str">
        <f t="shared" si="90"/>
        <v/>
      </c>
    </row>
    <row r="675" spans="41:45" hidden="1">
      <c r="AO675" s="612" t="str">
        <f t="shared" si="91"/>
        <v>blank</v>
      </c>
      <c r="AP675" s="260" t="str">
        <f t="shared" si="92"/>
        <v>blank</v>
      </c>
      <c r="AQ675" s="548" t="str">
        <f t="shared" si="88"/>
        <v/>
      </c>
      <c r="AR675" s="260" t="str">
        <f t="shared" si="89"/>
        <v/>
      </c>
      <c r="AS675" s="260" t="str">
        <f t="shared" si="90"/>
        <v/>
      </c>
    </row>
    <row r="676" spans="41:45" hidden="1">
      <c r="AO676" s="612" t="str">
        <f t="shared" si="91"/>
        <v>blank</v>
      </c>
      <c r="AP676" s="260" t="str">
        <f t="shared" si="92"/>
        <v>blank</v>
      </c>
      <c r="AQ676" s="548" t="str">
        <f t="shared" si="88"/>
        <v/>
      </c>
      <c r="AR676" s="260" t="str">
        <f t="shared" si="89"/>
        <v/>
      </c>
      <c r="AS676" s="260" t="str">
        <f t="shared" si="90"/>
        <v/>
      </c>
    </row>
    <row r="677" spans="41:45" hidden="1">
      <c r="AO677" s="612" t="str">
        <f t="shared" si="91"/>
        <v>blank</v>
      </c>
      <c r="AP677" s="260" t="str">
        <f t="shared" si="92"/>
        <v>blank</v>
      </c>
      <c r="AQ677" s="548" t="str">
        <f t="shared" si="88"/>
        <v/>
      </c>
      <c r="AR677" s="260" t="str">
        <f t="shared" si="89"/>
        <v/>
      </c>
      <c r="AS677" s="260" t="str">
        <f t="shared" si="90"/>
        <v/>
      </c>
    </row>
    <row r="678" spans="41:45" hidden="1">
      <c r="AO678" s="612" t="str">
        <f t="shared" si="91"/>
        <v>blank</v>
      </c>
      <c r="AP678" s="260" t="str">
        <f t="shared" si="92"/>
        <v>blank</v>
      </c>
      <c r="AQ678" s="548" t="str">
        <f t="shared" si="88"/>
        <v/>
      </c>
      <c r="AR678" s="260" t="str">
        <f t="shared" si="89"/>
        <v/>
      </c>
      <c r="AS678" s="260" t="str">
        <f t="shared" si="90"/>
        <v/>
      </c>
    </row>
    <row r="679" spans="41:45" hidden="1">
      <c r="AO679" s="612" t="str">
        <f t="shared" si="91"/>
        <v>blank</v>
      </c>
      <c r="AP679" s="260" t="str">
        <f t="shared" si="92"/>
        <v>blank</v>
      </c>
      <c r="AQ679" s="548" t="str">
        <f t="shared" si="88"/>
        <v/>
      </c>
      <c r="AR679" s="260" t="str">
        <f t="shared" si="89"/>
        <v/>
      </c>
      <c r="AS679" s="260" t="str">
        <f t="shared" si="90"/>
        <v/>
      </c>
    </row>
    <row r="680" spans="41:45" hidden="1">
      <c r="AO680" s="612" t="str">
        <f t="shared" si="91"/>
        <v>blank</v>
      </c>
      <c r="AP680" s="260" t="str">
        <f t="shared" si="92"/>
        <v>blank</v>
      </c>
      <c r="AQ680" s="548" t="str">
        <f t="shared" si="88"/>
        <v/>
      </c>
      <c r="AR680" s="260" t="str">
        <f t="shared" si="89"/>
        <v/>
      </c>
      <c r="AS680" s="260" t="str">
        <f t="shared" si="90"/>
        <v/>
      </c>
    </row>
    <row r="681" spans="41:45" hidden="1">
      <c r="AO681" s="612" t="str">
        <f t="shared" si="91"/>
        <v>blank</v>
      </c>
      <c r="AP681" s="260" t="str">
        <f t="shared" si="92"/>
        <v>blank</v>
      </c>
      <c r="AQ681" s="548" t="str">
        <f t="shared" si="88"/>
        <v/>
      </c>
      <c r="AR681" s="260" t="str">
        <f t="shared" si="89"/>
        <v/>
      </c>
      <c r="AS681" s="260" t="str">
        <f t="shared" si="90"/>
        <v/>
      </c>
    </row>
    <row r="682" spans="41:45" hidden="1">
      <c r="AO682" s="612" t="str">
        <f t="shared" si="91"/>
        <v>blank</v>
      </c>
      <c r="AP682" s="260" t="str">
        <f t="shared" si="92"/>
        <v>blank</v>
      </c>
      <c r="AQ682" s="548" t="str">
        <f t="shared" si="88"/>
        <v/>
      </c>
      <c r="AR682" s="260" t="str">
        <f t="shared" si="89"/>
        <v/>
      </c>
      <c r="AS682" s="260" t="str">
        <f t="shared" si="90"/>
        <v/>
      </c>
    </row>
    <row r="683" spans="41:45" hidden="1">
      <c r="AO683" s="612" t="str">
        <f t="shared" si="91"/>
        <v>blank</v>
      </c>
      <c r="AP683" s="260" t="str">
        <f t="shared" si="92"/>
        <v>blank</v>
      </c>
      <c r="AQ683" s="548" t="str">
        <f t="shared" si="88"/>
        <v/>
      </c>
      <c r="AR683" s="260" t="str">
        <f t="shared" si="89"/>
        <v/>
      </c>
      <c r="AS683" s="260" t="str">
        <f t="shared" si="90"/>
        <v/>
      </c>
    </row>
    <row r="684" spans="41:45" hidden="1">
      <c r="AO684" s="612" t="str">
        <f t="shared" si="91"/>
        <v>blank</v>
      </c>
      <c r="AP684" s="260" t="str">
        <f t="shared" si="92"/>
        <v>blank</v>
      </c>
      <c r="AQ684" s="548" t="str">
        <f t="shared" si="88"/>
        <v/>
      </c>
      <c r="AR684" s="260" t="str">
        <f t="shared" si="89"/>
        <v/>
      </c>
      <c r="AS684" s="260" t="str">
        <f t="shared" si="90"/>
        <v/>
      </c>
    </row>
    <row r="685" spans="41:45" hidden="1">
      <c r="AO685" s="612" t="str">
        <f t="shared" si="91"/>
        <v>blank</v>
      </c>
      <c r="AP685" s="260" t="str">
        <f t="shared" si="92"/>
        <v>blank</v>
      </c>
      <c r="AQ685" s="548" t="str">
        <f t="shared" si="88"/>
        <v/>
      </c>
      <c r="AR685" s="260" t="str">
        <f t="shared" si="89"/>
        <v/>
      </c>
      <c r="AS685" s="260" t="str">
        <f t="shared" si="90"/>
        <v/>
      </c>
    </row>
    <row r="686" spans="41:45" hidden="1">
      <c r="AO686" s="612" t="str">
        <f t="shared" si="91"/>
        <v>blank</v>
      </c>
      <c r="AP686" s="260" t="str">
        <f t="shared" si="92"/>
        <v>blank</v>
      </c>
      <c r="AQ686" s="548" t="str">
        <f t="shared" si="88"/>
        <v/>
      </c>
      <c r="AR686" s="260" t="str">
        <f t="shared" si="89"/>
        <v/>
      </c>
      <c r="AS686" s="260" t="str">
        <f t="shared" si="90"/>
        <v/>
      </c>
    </row>
    <row r="687" spans="41:45" hidden="1">
      <c r="AO687" s="612" t="str">
        <f t="shared" si="91"/>
        <v>blank</v>
      </c>
      <c r="AP687" s="260" t="str">
        <f t="shared" si="92"/>
        <v>blank</v>
      </c>
      <c r="AQ687" s="548" t="str">
        <f t="shared" si="88"/>
        <v/>
      </c>
      <c r="AR687" s="260" t="str">
        <f t="shared" si="89"/>
        <v/>
      </c>
      <c r="AS687" s="260" t="str">
        <f t="shared" si="90"/>
        <v/>
      </c>
    </row>
    <row r="688" spans="41:45" hidden="1">
      <c r="AO688" s="612" t="str">
        <f t="shared" si="91"/>
        <v>blank</v>
      </c>
      <c r="AP688" s="260" t="str">
        <f t="shared" si="92"/>
        <v>blank</v>
      </c>
      <c r="AQ688" s="548" t="str">
        <f t="shared" si="88"/>
        <v/>
      </c>
      <c r="AR688" s="260" t="str">
        <f t="shared" si="89"/>
        <v/>
      </c>
      <c r="AS688" s="260" t="str">
        <f t="shared" si="90"/>
        <v/>
      </c>
    </row>
    <row r="689" spans="41:45" hidden="1">
      <c r="AO689" s="612" t="str">
        <f t="shared" si="91"/>
        <v>blank</v>
      </c>
      <c r="AP689" s="260" t="str">
        <f t="shared" si="92"/>
        <v>blank</v>
      </c>
      <c r="AQ689" s="548" t="str">
        <f t="shared" si="88"/>
        <v/>
      </c>
      <c r="AR689" s="260" t="str">
        <f t="shared" si="89"/>
        <v/>
      </c>
      <c r="AS689" s="260" t="str">
        <f t="shared" si="90"/>
        <v/>
      </c>
    </row>
    <row r="690" spans="41:45" hidden="1">
      <c r="AO690" s="612" t="str">
        <f t="shared" si="91"/>
        <v>blank</v>
      </c>
      <c r="AP690" s="260" t="str">
        <f t="shared" si="92"/>
        <v>blank</v>
      </c>
      <c r="AQ690" s="548" t="str">
        <f t="shared" si="88"/>
        <v/>
      </c>
      <c r="AR690" s="260" t="str">
        <f t="shared" si="89"/>
        <v/>
      </c>
      <c r="AS690" s="260" t="str">
        <f t="shared" si="90"/>
        <v/>
      </c>
    </row>
    <row r="691" spans="41:45" hidden="1">
      <c r="AO691" s="612" t="str">
        <f t="shared" si="91"/>
        <v>blank</v>
      </c>
      <c r="AP691" s="260" t="str">
        <f t="shared" si="92"/>
        <v>blank</v>
      </c>
      <c r="AQ691" s="548" t="str">
        <f t="shared" si="88"/>
        <v/>
      </c>
      <c r="AR691" s="260" t="str">
        <f t="shared" si="89"/>
        <v/>
      </c>
      <c r="AS691" s="260" t="str">
        <f t="shared" si="90"/>
        <v/>
      </c>
    </row>
    <row r="692" spans="41:45" hidden="1">
      <c r="AO692" s="612" t="str">
        <f t="shared" si="91"/>
        <v>blank</v>
      </c>
      <c r="AP692" s="260" t="str">
        <f t="shared" si="92"/>
        <v>blank</v>
      </c>
      <c r="AQ692" s="548" t="str">
        <f t="shared" si="88"/>
        <v/>
      </c>
      <c r="AR692" s="260" t="str">
        <f t="shared" si="89"/>
        <v/>
      </c>
      <c r="AS692" s="260" t="str">
        <f t="shared" si="90"/>
        <v/>
      </c>
    </row>
    <row r="693" spans="41:45" hidden="1">
      <c r="AO693" s="612" t="str">
        <f t="shared" si="91"/>
        <v>blank</v>
      </c>
      <c r="AP693" s="260" t="str">
        <f t="shared" si="92"/>
        <v>blank</v>
      </c>
      <c r="AQ693" s="548" t="str">
        <f t="shared" si="88"/>
        <v/>
      </c>
      <c r="AR693" s="260" t="str">
        <f t="shared" si="89"/>
        <v/>
      </c>
      <c r="AS693" s="260" t="str">
        <f t="shared" si="90"/>
        <v/>
      </c>
    </row>
    <row r="694" spans="41:45" hidden="1">
      <c r="AO694" s="612" t="str">
        <f t="shared" si="91"/>
        <v>blank</v>
      </c>
      <c r="AP694" s="260" t="str">
        <f t="shared" si="92"/>
        <v>blank</v>
      </c>
      <c r="AQ694" s="548" t="str">
        <f t="shared" si="88"/>
        <v/>
      </c>
      <c r="AR694" s="260" t="str">
        <f t="shared" si="89"/>
        <v/>
      </c>
      <c r="AS694" s="260" t="str">
        <f t="shared" si="90"/>
        <v/>
      </c>
    </row>
    <row r="695" spans="41:45" hidden="1">
      <c r="AO695" s="612" t="str">
        <f t="shared" si="91"/>
        <v>blank</v>
      </c>
      <c r="AP695" s="260" t="str">
        <f t="shared" si="92"/>
        <v>blank</v>
      </c>
      <c r="AQ695" s="548" t="str">
        <f t="shared" si="88"/>
        <v/>
      </c>
      <c r="AR695" s="260" t="str">
        <f t="shared" si="89"/>
        <v/>
      </c>
      <c r="AS695" s="260" t="str">
        <f t="shared" si="90"/>
        <v/>
      </c>
    </row>
    <row r="696" spans="41:45" hidden="1">
      <c r="AO696" s="612" t="str">
        <f t="shared" si="91"/>
        <v>blank</v>
      </c>
      <c r="AP696" s="260" t="str">
        <f t="shared" si="92"/>
        <v>blank</v>
      </c>
      <c r="AQ696" s="548" t="str">
        <f t="shared" si="88"/>
        <v/>
      </c>
      <c r="AR696" s="260" t="str">
        <f t="shared" si="89"/>
        <v/>
      </c>
      <c r="AS696" s="260" t="str">
        <f t="shared" si="90"/>
        <v/>
      </c>
    </row>
    <row r="697" spans="41:45" hidden="1">
      <c r="AO697" s="612" t="str">
        <f t="shared" si="91"/>
        <v>blank</v>
      </c>
      <c r="AP697" s="260" t="str">
        <f t="shared" si="92"/>
        <v>blank</v>
      </c>
      <c r="AQ697" s="548" t="str">
        <f t="shared" si="88"/>
        <v/>
      </c>
      <c r="AR697" s="260" t="str">
        <f t="shared" si="89"/>
        <v/>
      </c>
      <c r="AS697" s="260" t="str">
        <f t="shared" si="90"/>
        <v/>
      </c>
    </row>
    <row r="698" spans="41:45" hidden="1">
      <c r="AO698" s="612" t="str">
        <f t="shared" si="91"/>
        <v>blank</v>
      </c>
      <c r="AP698" s="260" t="str">
        <f t="shared" si="92"/>
        <v>blank</v>
      </c>
      <c r="AQ698" s="548" t="str">
        <f t="shared" si="88"/>
        <v/>
      </c>
      <c r="AR698" s="260" t="str">
        <f t="shared" si="89"/>
        <v/>
      </c>
      <c r="AS698" s="260" t="str">
        <f t="shared" si="90"/>
        <v/>
      </c>
    </row>
    <row r="699" spans="41:45" hidden="1">
      <c r="AO699" s="612" t="str">
        <f t="shared" si="91"/>
        <v>blank</v>
      </c>
      <c r="AP699" s="260" t="str">
        <f t="shared" si="92"/>
        <v>blank</v>
      </c>
      <c r="AQ699" s="548" t="str">
        <f t="shared" si="88"/>
        <v/>
      </c>
      <c r="AR699" s="260" t="str">
        <f t="shared" si="89"/>
        <v/>
      </c>
      <c r="AS699" s="260" t="str">
        <f t="shared" si="90"/>
        <v/>
      </c>
    </row>
    <row r="700" spans="41:45" hidden="1">
      <c r="AO700" s="612" t="str">
        <f t="shared" si="91"/>
        <v>blank</v>
      </c>
      <c r="AP700" s="260" t="str">
        <f t="shared" si="92"/>
        <v>blank</v>
      </c>
      <c r="AQ700" s="548" t="str">
        <f t="shared" si="88"/>
        <v/>
      </c>
      <c r="AR700" s="260" t="str">
        <f t="shared" si="89"/>
        <v/>
      </c>
      <c r="AS700" s="260" t="str">
        <f t="shared" si="90"/>
        <v/>
      </c>
    </row>
    <row r="701" spans="41:45" hidden="1">
      <c r="AO701" s="612" t="str">
        <f t="shared" si="91"/>
        <v>blank</v>
      </c>
      <c r="AP701" s="260" t="str">
        <f t="shared" si="92"/>
        <v>blank</v>
      </c>
      <c r="AQ701" s="548" t="str">
        <f t="shared" si="88"/>
        <v/>
      </c>
      <c r="AR701" s="260" t="str">
        <f t="shared" si="89"/>
        <v/>
      </c>
      <c r="AS701" s="260" t="str">
        <f t="shared" si="90"/>
        <v/>
      </c>
    </row>
    <row r="702" spans="41:45" hidden="1">
      <c r="AO702" s="612" t="str">
        <f t="shared" si="91"/>
        <v>blank</v>
      </c>
      <c r="AP702" s="260" t="str">
        <f t="shared" si="92"/>
        <v>blank</v>
      </c>
      <c r="AQ702" s="548" t="str">
        <f t="shared" si="88"/>
        <v/>
      </c>
      <c r="AR702" s="260" t="str">
        <f t="shared" si="89"/>
        <v/>
      </c>
      <c r="AS702" s="260" t="str">
        <f t="shared" si="90"/>
        <v/>
      </c>
    </row>
    <row r="703" spans="41:45" hidden="1">
      <c r="AO703" s="612" t="str">
        <f t="shared" si="91"/>
        <v>blank</v>
      </c>
      <c r="AP703" s="260" t="str">
        <f t="shared" si="92"/>
        <v>blank</v>
      </c>
      <c r="AQ703" s="548" t="str">
        <f t="shared" si="88"/>
        <v/>
      </c>
      <c r="AR703" s="260" t="str">
        <f t="shared" si="89"/>
        <v/>
      </c>
      <c r="AS703" s="260" t="str">
        <f t="shared" si="90"/>
        <v/>
      </c>
    </row>
    <row r="704" spans="41:45" hidden="1">
      <c r="AO704" s="612" t="str">
        <f t="shared" si="91"/>
        <v>blank</v>
      </c>
      <c r="AP704" s="260" t="str">
        <f t="shared" si="92"/>
        <v>blank</v>
      </c>
      <c r="AQ704" s="548" t="str">
        <f t="shared" si="88"/>
        <v/>
      </c>
      <c r="AR704" s="260" t="str">
        <f t="shared" si="89"/>
        <v/>
      </c>
      <c r="AS704" s="260" t="str">
        <f t="shared" si="90"/>
        <v/>
      </c>
    </row>
    <row r="705" spans="41:45" hidden="1">
      <c r="AO705" s="612" t="str">
        <f t="shared" si="91"/>
        <v>blank</v>
      </c>
      <c r="AP705" s="260" t="str">
        <f t="shared" si="92"/>
        <v>blank</v>
      </c>
      <c r="AQ705" s="548" t="str">
        <f t="shared" si="88"/>
        <v/>
      </c>
      <c r="AR705" s="260" t="str">
        <f t="shared" si="89"/>
        <v/>
      </c>
      <c r="AS705" s="260" t="str">
        <f t="shared" si="90"/>
        <v/>
      </c>
    </row>
    <row r="706" spans="41:45" hidden="1">
      <c r="AO706" s="612" t="str">
        <f t="shared" si="91"/>
        <v>blank</v>
      </c>
      <c r="AP706" s="260" t="str">
        <f t="shared" si="92"/>
        <v>blank</v>
      </c>
      <c r="AQ706" s="548" t="str">
        <f t="shared" si="88"/>
        <v/>
      </c>
      <c r="AR706" s="260" t="str">
        <f t="shared" si="89"/>
        <v/>
      </c>
      <c r="AS706" s="260" t="str">
        <f t="shared" si="90"/>
        <v/>
      </c>
    </row>
    <row r="707" spans="41:45" hidden="1">
      <c r="AO707" s="612" t="str">
        <f t="shared" si="91"/>
        <v>blank</v>
      </c>
      <c r="AP707" s="260" t="str">
        <f t="shared" si="92"/>
        <v>blank</v>
      </c>
      <c r="AQ707" s="548" t="str">
        <f t="shared" ref="AQ707:AQ770" si="93">IFERROR(IF(AND(AO707="Yes", AP707&lt;&gt;"blank"), "有定金+客戶送貨期", IF(AND(AO707="Yes", AP707="blank"), "有定金+无客戶送貨期", IF(AND(OR(AO707="No", ISBLANK(AO707), AO707="NA"), AP707&lt;&gt;"blank"), "无定金+有客戶送貨期", IF(AND(OR(AO707="No", ISBLANK(AO707), AO707="NA"), AP707="blank"), "无定金+无客戶送貨期", "")))), "")</f>
        <v/>
      </c>
      <c r="AR707" s="260" t="str">
        <f t="shared" ref="AR707:AR770" si="94">IFERROR(IF(B707="已经到货", "Instock", IF(B707="有交期", "Incoming_Stock_With_YAMAHA_Schedule", IF(B707="TBA.", "Incoming_Stock_No_YAMAHA_Schedule", IF(B707="已发货", "Shipped_Stock", "")))), "")</f>
        <v/>
      </c>
      <c r="AS707" s="260" t="str">
        <f t="shared" ref="AS707:AS770" si="95">IF(AND(B707="有交期", L707&lt;&gt;""), L707, "")</f>
        <v/>
      </c>
    </row>
    <row r="708" spans="41:45" hidden="1">
      <c r="AO708" s="612" t="str">
        <f t="shared" si="91"/>
        <v>blank</v>
      </c>
      <c r="AP708" s="260" t="str">
        <f t="shared" si="92"/>
        <v>blank</v>
      </c>
      <c r="AQ708" s="548" t="str">
        <f t="shared" si="93"/>
        <v/>
      </c>
      <c r="AR708" s="260" t="str">
        <f t="shared" si="94"/>
        <v/>
      </c>
      <c r="AS708" s="260" t="str">
        <f t="shared" si="95"/>
        <v/>
      </c>
    </row>
    <row r="709" spans="41:45" hidden="1">
      <c r="AO709" s="612" t="str">
        <f t="shared" si="91"/>
        <v>blank</v>
      </c>
      <c r="AP709" s="260" t="str">
        <f t="shared" si="92"/>
        <v>blank</v>
      </c>
      <c r="AQ709" s="548" t="str">
        <f t="shared" si="93"/>
        <v/>
      </c>
      <c r="AR709" s="260" t="str">
        <f t="shared" si="94"/>
        <v/>
      </c>
      <c r="AS709" s="260" t="str">
        <f t="shared" si="95"/>
        <v/>
      </c>
    </row>
    <row r="710" spans="41:45" hidden="1">
      <c r="AO710" s="612" t="str">
        <f t="shared" si="91"/>
        <v>blank</v>
      </c>
      <c r="AP710" s="260" t="str">
        <f t="shared" si="92"/>
        <v>blank</v>
      </c>
      <c r="AQ710" s="548" t="str">
        <f t="shared" si="93"/>
        <v/>
      </c>
      <c r="AR710" s="260" t="str">
        <f t="shared" si="94"/>
        <v/>
      </c>
      <c r="AS710" s="260" t="str">
        <f t="shared" si="95"/>
        <v/>
      </c>
    </row>
    <row r="711" spans="41:45" hidden="1">
      <c r="AO711" s="612" t="str">
        <f t="shared" si="91"/>
        <v>blank</v>
      </c>
      <c r="AP711" s="260" t="str">
        <f t="shared" si="92"/>
        <v>blank</v>
      </c>
      <c r="AQ711" s="548" t="str">
        <f t="shared" si="93"/>
        <v/>
      </c>
      <c r="AR711" s="260" t="str">
        <f t="shared" si="94"/>
        <v/>
      </c>
      <c r="AS711" s="260" t="str">
        <f t="shared" si="95"/>
        <v/>
      </c>
    </row>
    <row r="712" spans="41:45" hidden="1">
      <c r="AO712" s="612" t="str">
        <f t="shared" si="91"/>
        <v>blank</v>
      </c>
      <c r="AP712" s="260" t="str">
        <f t="shared" si="92"/>
        <v>blank</v>
      </c>
      <c r="AQ712" s="548" t="str">
        <f t="shared" si="93"/>
        <v/>
      </c>
      <c r="AR712" s="260" t="str">
        <f t="shared" si="94"/>
        <v/>
      </c>
      <c r="AS712" s="260" t="str">
        <f t="shared" si="95"/>
        <v/>
      </c>
    </row>
    <row r="713" spans="41:45" hidden="1">
      <c r="AO713" s="612" t="str">
        <f t="shared" si="91"/>
        <v>blank</v>
      </c>
      <c r="AP713" s="260" t="str">
        <f t="shared" si="92"/>
        <v>blank</v>
      </c>
      <c r="AQ713" s="548" t="str">
        <f t="shared" si="93"/>
        <v/>
      </c>
      <c r="AR713" s="260" t="str">
        <f t="shared" si="94"/>
        <v/>
      </c>
      <c r="AS713" s="260" t="str">
        <f t="shared" si="95"/>
        <v/>
      </c>
    </row>
    <row r="714" spans="41:45" hidden="1">
      <c r="AO714" s="612" t="str">
        <f t="shared" si="91"/>
        <v>blank</v>
      </c>
      <c r="AP714" s="260" t="str">
        <f t="shared" si="92"/>
        <v>blank</v>
      </c>
      <c r="AQ714" s="548" t="str">
        <f t="shared" si="93"/>
        <v/>
      </c>
      <c r="AR714" s="260" t="str">
        <f t="shared" si="94"/>
        <v/>
      </c>
      <c r="AS714" s="260" t="str">
        <f t="shared" si="95"/>
        <v/>
      </c>
    </row>
    <row r="715" spans="41:45" hidden="1">
      <c r="AO715" s="612" t="str">
        <f t="shared" si="91"/>
        <v>blank</v>
      </c>
      <c r="AP715" s="260" t="str">
        <f t="shared" si="92"/>
        <v>blank</v>
      </c>
      <c r="AQ715" s="548" t="str">
        <f t="shared" si="93"/>
        <v/>
      </c>
      <c r="AR715" s="260" t="str">
        <f t="shared" si="94"/>
        <v/>
      </c>
      <c r="AS715" s="260" t="str">
        <f t="shared" si="95"/>
        <v/>
      </c>
    </row>
    <row r="716" spans="41:45" hidden="1">
      <c r="AO716" s="612" t="str">
        <f t="shared" si="91"/>
        <v>blank</v>
      </c>
      <c r="AP716" s="260" t="str">
        <f t="shared" si="92"/>
        <v>blank</v>
      </c>
      <c r="AQ716" s="548" t="str">
        <f t="shared" si="93"/>
        <v/>
      </c>
      <c r="AR716" s="260" t="str">
        <f t="shared" si="94"/>
        <v/>
      </c>
      <c r="AS716" s="260" t="str">
        <f t="shared" si="95"/>
        <v/>
      </c>
    </row>
    <row r="717" spans="41:45" hidden="1">
      <c r="AO717" s="612" t="str">
        <f t="shared" si="91"/>
        <v>blank</v>
      </c>
      <c r="AP717" s="260" t="str">
        <f t="shared" si="92"/>
        <v>blank</v>
      </c>
      <c r="AQ717" s="548" t="str">
        <f t="shared" si="93"/>
        <v/>
      </c>
      <c r="AR717" s="260" t="str">
        <f t="shared" si="94"/>
        <v/>
      </c>
      <c r="AS717" s="260" t="str">
        <f t="shared" si="95"/>
        <v/>
      </c>
    </row>
    <row r="718" spans="41:45" hidden="1">
      <c r="AO718" s="612" t="str">
        <f t="shared" si="91"/>
        <v>blank</v>
      </c>
      <c r="AP718" s="260" t="str">
        <f t="shared" si="92"/>
        <v>blank</v>
      </c>
      <c r="AQ718" s="548" t="str">
        <f t="shared" si="93"/>
        <v/>
      </c>
      <c r="AR718" s="260" t="str">
        <f t="shared" si="94"/>
        <v/>
      </c>
      <c r="AS718" s="260" t="str">
        <f t="shared" si="95"/>
        <v/>
      </c>
    </row>
    <row r="719" spans="41:45" hidden="1">
      <c r="AO719" s="612" t="str">
        <f t="shared" si="91"/>
        <v>blank</v>
      </c>
      <c r="AP719" s="260" t="str">
        <f t="shared" si="92"/>
        <v>blank</v>
      </c>
      <c r="AQ719" s="548" t="str">
        <f t="shared" si="93"/>
        <v/>
      </c>
      <c r="AR719" s="260" t="str">
        <f t="shared" si="94"/>
        <v/>
      </c>
      <c r="AS719" s="260" t="str">
        <f t="shared" si="95"/>
        <v/>
      </c>
    </row>
    <row r="720" spans="41:45" hidden="1">
      <c r="AO720" s="612" t="str">
        <f t="shared" si="91"/>
        <v>blank</v>
      </c>
      <c r="AP720" s="260" t="str">
        <f t="shared" si="92"/>
        <v>blank</v>
      </c>
      <c r="AQ720" s="548" t="str">
        <f t="shared" si="93"/>
        <v/>
      </c>
      <c r="AR720" s="260" t="str">
        <f t="shared" si="94"/>
        <v/>
      </c>
      <c r="AS720" s="260" t="str">
        <f t="shared" si="95"/>
        <v/>
      </c>
    </row>
    <row r="721" spans="41:45" hidden="1">
      <c r="AO721" s="612" t="str">
        <f t="shared" si="91"/>
        <v>blank</v>
      </c>
      <c r="AP721" s="260" t="str">
        <f t="shared" si="92"/>
        <v>blank</v>
      </c>
      <c r="AQ721" s="548" t="str">
        <f t="shared" si="93"/>
        <v/>
      </c>
      <c r="AR721" s="260" t="str">
        <f t="shared" si="94"/>
        <v/>
      </c>
      <c r="AS721" s="260" t="str">
        <f t="shared" si="95"/>
        <v/>
      </c>
    </row>
    <row r="722" spans="41:45" hidden="1">
      <c r="AO722" s="612" t="str">
        <f t="shared" si="91"/>
        <v>blank</v>
      </c>
      <c r="AP722" s="260" t="str">
        <f t="shared" si="92"/>
        <v>blank</v>
      </c>
      <c r="AQ722" s="548" t="str">
        <f t="shared" si="93"/>
        <v/>
      </c>
      <c r="AR722" s="260" t="str">
        <f t="shared" si="94"/>
        <v/>
      </c>
      <c r="AS722" s="260" t="str">
        <f t="shared" si="95"/>
        <v/>
      </c>
    </row>
    <row r="723" spans="41:45" hidden="1">
      <c r="AO723" s="612" t="str">
        <f t="shared" si="91"/>
        <v>blank</v>
      </c>
      <c r="AP723" s="260" t="str">
        <f t="shared" si="92"/>
        <v>blank</v>
      </c>
      <c r="AQ723" s="548" t="str">
        <f t="shared" si="93"/>
        <v/>
      </c>
      <c r="AR723" s="260" t="str">
        <f t="shared" si="94"/>
        <v/>
      </c>
      <c r="AS723" s="260" t="str">
        <f t="shared" si="95"/>
        <v/>
      </c>
    </row>
    <row r="724" spans="41:45" hidden="1">
      <c r="AO724" s="612" t="str">
        <f t="shared" si="91"/>
        <v>blank</v>
      </c>
      <c r="AP724" s="260" t="str">
        <f t="shared" si="92"/>
        <v>blank</v>
      </c>
      <c r="AQ724" s="548" t="str">
        <f t="shared" si="93"/>
        <v/>
      </c>
      <c r="AR724" s="260" t="str">
        <f t="shared" si="94"/>
        <v/>
      </c>
      <c r="AS724" s="260" t="str">
        <f t="shared" si="95"/>
        <v/>
      </c>
    </row>
    <row r="725" spans="41:45" hidden="1">
      <c r="AO725" s="612" t="str">
        <f t="shared" si="91"/>
        <v>blank</v>
      </c>
      <c r="AP725" s="260" t="str">
        <f t="shared" si="92"/>
        <v>blank</v>
      </c>
      <c r="AQ725" s="548" t="str">
        <f t="shared" si="93"/>
        <v/>
      </c>
      <c r="AR725" s="260" t="str">
        <f t="shared" si="94"/>
        <v/>
      </c>
      <c r="AS725" s="260" t="str">
        <f t="shared" si="95"/>
        <v/>
      </c>
    </row>
    <row r="726" spans="41:45" hidden="1">
      <c r="AO726" s="612" t="str">
        <f t="shared" ref="AO726:AO789" si="96">IFERROR(IF(Y726&lt;&gt;"",Y726,"blank"),"NA")</f>
        <v>blank</v>
      </c>
      <c r="AP726" s="260" t="str">
        <f t="shared" ref="AP726:AP789" si="97">IFERROR(IF(N726&lt;&gt;"",N726,"blank"),"NA")</f>
        <v>blank</v>
      </c>
      <c r="AQ726" s="548" t="str">
        <f t="shared" si="93"/>
        <v/>
      </c>
      <c r="AR726" s="260" t="str">
        <f t="shared" si="94"/>
        <v/>
      </c>
      <c r="AS726" s="260" t="str">
        <f t="shared" si="95"/>
        <v/>
      </c>
    </row>
    <row r="727" spans="41:45" hidden="1">
      <c r="AO727" s="612" t="str">
        <f t="shared" si="96"/>
        <v>blank</v>
      </c>
      <c r="AP727" s="260" t="str">
        <f t="shared" si="97"/>
        <v>blank</v>
      </c>
      <c r="AQ727" s="548" t="str">
        <f t="shared" si="93"/>
        <v/>
      </c>
      <c r="AR727" s="260" t="str">
        <f t="shared" si="94"/>
        <v/>
      </c>
      <c r="AS727" s="260" t="str">
        <f t="shared" si="95"/>
        <v/>
      </c>
    </row>
    <row r="728" spans="41:45" hidden="1">
      <c r="AO728" s="612" t="str">
        <f t="shared" si="96"/>
        <v>blank</v>
      </c>
      <c r="AP728" s="260" t="str">
        <f t="shared" si="97"/>
        <v>blank</v>
      </c>
      <c r="AQ728" s="548" t="str">
        <f t="shared" si="93"/>
        <v/>
      </c>
      <c r="AR728" s="260" t="str">
        <f t="shared" si="94"/>
        <v/>
      </c>
      <c r="AS728" s="260" t="str">
        <f t="shared" si="95"/>
        <v/>
      </c>
    </row>
    <row r="729" spans="41:45" hidden="1">
      <c r="AO729" s="612" t="str">
        <f t="shared" si="96"/>
        <v>blank</v>
      </c>
      <c r="AP729" s="260" t="str">
        <f t="shared" si="97"/>
        <v>blank</v>
      </c>
      <c r="AQ729" s="548" t="str">
        <f t="shared" si="93"/>
        <v/>
      </c>
      <c r="AR729" s="260" t="str">
        <f t="shared" si="94"/>
        <v/>
      </c>
      <c r="AS729" s="260" t="str">
        <f t="shared" si="95"/>
        <v/>
      </c>
    </row>
    <row r="730" spans="41:45" hidden="1">
      <c r="AO730" s="612" t="str">
        <f t="shared" si="96"/>
        <v>blank</v>
      </c>
      <c r="AP730" s="260" t="str">
        <f t="shared" si="97"/>
        <v>blank</v>
      </c>
      <c r="AQ730" s="548" t="str">
        <f t="shared" si="93"/>
        <v/>
      </c>
      <c r="AR730" s="260" t="str">
        <f t="shared" si="94"/>
        <v/>
      </c>
      <c r="AS730" s="260" t="str">
        <f t="shared" si="95"/>
        <v/>
      </c>
    </row>
    <row r="731" spans="41:45" hidden="1">
      <c r="AO731" s="612" t="str">
        <f t="shared" si="96"/>
        <v>blank</v>
      </c>
      <c r="AP731" s="260" t="str">
        <f t="shared" si="97"/>
        <v>blank</v>
      </c>
      <c r="AQ731" s="548" t="str">
        <f t="shared" si="93"/>
        <v/>
      </c>
      <c r="AR731" s="260" t="str">
        <f t="shared" si="94"/>
        <v/>
      </c>
      <c r="AS731" s="260" t="str">
        <f t="shared" si="95"/>
        <v/>
      </c>
    </row>
    <row r="732" spans="41:45" hidden="1">
      <c r="AO732" s="612" t="str">
        <f t="shared" si="96"/>
        <v>blank</v>
      </c>
      <c r="AP732" s="260" t="str">
        <f t="shared" si="97"/>
        <v>blank</v>
      </c>
      <c r="AQ732" s="548" t="str">
        <f t="shared" si="93"/>
        <v/>
      </c>
      <c r="AR732" s="260" t="str">
        <f t="shared" si="94"/>
        <v/>
      </c>
      <c r="AS732" s="260" t="str">
        <f t="shared" si="95"/>
        <v/>
      </c>
    </row>
    <row r="733" spans="41:45" hidden="1">
      <c r="AO733" s="612" t="str">
        <f t="shared" si="96"/>
        <v>blank</v>
      </c>
      <c r="AP733" s="260" t="str">
        <f t="shared" si="97"/>
        <v>blank</v>
      </c>
      <c r="AQ733" s="548" t="str">
        <f t="shared" si="93"/>
        <v/>
      </c>
      <c r="AR733" s="260" t="str">
        <f t="shared" si="94"/>
        <v/>
      </c>
      <c r="AS733" s="260" t="str">
        <f t="shared" si="95"/>
        <v/>
      </c>
    </row>
    <row r="734" spans="41:45" hidden="1">
      <c r="AO734" s="612" t="str">
        <f t="shared" si="96"/>
        <v>blank</v>
      </c>
      <c r="AP734" s="260" t="str">
        <f t="shared" si="97"/>
        <v>blank</v>
      </c>
      <c r="AQ734" s="548" t="str">
        <f t="shared" si="93"/>
        <v/>
      </c>
      <c r="AR734" s="260" t="str">
        <f t="shared" si="94"/>
        <v/>
      </c>
      <c r="AS734" s="260" t="str">
        <f t="shared" si="95"/>
        <v/>
      </c>
    </row>
    <row r="735" spans="41:45" hidden="1">
      <c r="AO735" s="612" t="str">
        <f t="shared" si="96"/>
        <v>blank</v>
      </c>
      <c r="AP735" s="260" t="str">
        <f t="shared" si="97"/>
        <v>blank</v>
      </c>
      <c r="AQ735" s="548" t="str">
        <f t="shared" si="93"/>
        <v/>
      </c>
      <c r="AR735" s="260" t="str">
        <f t="shared" si="94"/>
        <v/>
      </c>
      <c r="AS735" s="260" t="str">
        <f t="shared" si="95"/>
        <v/>
      </c>
    </row>
    <row r="736" spans="41:45" hidden="1">
      <c r="AO736" s="612" t="str">
        <f t="shared" si="96"/>
        <v>blank</v>
      </c>
      <c r="AP736" s="260" t="str">
        <f t="shared" si="97"/>
        <v>blank</v>
      </c>
      <c r="AQ736" s="548" t="str">
        <f t="shared" si="93"/>
        <v/>
      </c>
      <c r="AR736" s="260" t="str">
        <f t="shared" si="94"/>
        <v/>
      </c>
      <c r="AS736" s="260" t="str">
        <f t="shared" si="95"/>
        <v/>
      </c>
    </row>
    <row r="737" spans="41:45" hidden="1">
      <c r="AO737" s="612" t="str">
        <f t="shared" si="96"/>
        <v>blank</v>
      </c>
      <c r="AP737" s="260" t="str">
        <f t="shared" si="97"/>
        <v>blank</v>
      </c>
      <c r="AQ737" s="548" t="str">
        <f t="shared" si="93"/>
        <v/>
      </c>
      <c r="AR737" s="260" t="str">
        <f t="shared" si="94"/>
        <v/>
      </c>
      <c r="AS737" s="260" t="str">
        <f t="shared" si="95"/>
        <v/>
      </c>
    </row>
    <row r="738" spans="41:45" hidden="1">
      <c r="AO738" s="612" t="str">
        <f t="shared" si="96"/>
        <v>blank</v>
      </c>
      <c r="AP738" s="260" t="str">
        <f t="shared" si="97"/>
        <v>blank</v>
      </c>
      <c r="AQ738" s="548" t="str">
        <f t="shared" si="93"/>
        <v/>
      </c>
      <c r="AR738" s="260" t="str">
        <f t="shared" si="94"/>
        <v/>
      </c>
      <c r="AS738" s="260" t="str">
        <f t="shared" si="95"/>
        <v/>
      </c>
    </row>
    <row r="739" spans="41:45" hidden="1">
      <c r="AO739" s="612" t="str">
        <f t="shared" si="96"/>
        <v>blank</v>
      </c>
      <c r="AP739" s="260" t="str">
        <f t="shared" si="97"/>
        <v>blank</v>
      </c>
      <c r="AQ739" s="548" t="str">
        <f t="shared" si="93"/>
        <v/>
      </c>
      <c r="AR739" s="260" t="str">
        <f t="shared" si="94"/>
        <v/>
      </c>
      <c r="AS739" s="260" t="str">
        <f t="shared" si="95"/>
        <v/>
      </c>
    </row>
    <row r="740" spans="41:45" hidden="1">
      <c r="AO740" s="612" t="str">
        <f t="shared" si="96"/>
        <v>blank</v>
      </c>
      <c r="AP740" s="260" t="str">
        <f t="shared" si="97"/>
        <v>blank</v>
      </c>
      <c r="AQ740" s="548" t="str">
        <f t="shared" si="93"/>
        <v/>
      </c>
      <c r="AR740" s="260" t="str">
        <f t="shared" si="94"/>
        <v/>
      </c>
      <c r="AS740" s="260" t="str">
        <f t="shared" si="95"/>
        <v/>
      </c>
    </row>
    <row r="741" spans="41:45" hidden="1">
      <c r="AO741" s="612" t="str">
        <f t="shared" si="96"/>
        <v>blank</v>
      </c>
      <c r="AP741" s="260" t="str">
        <f t="shared" si="97"/>
        <v>blank</v>
      </c>
      <c r="AQ741" s="548" t="str">
        <f t="shared" si="93"/>
        <v/>
      </c>
      <c r="AR741" s="260" t="str">
        <f t="shared" si="94"/>
        <v/>
      </c>
      <c r="AS741" s="260" t="str">
        <f t="shared" si="95"/>
        <v/>
      </c>
    </row>
    <row r="742" spans="41:45" hidden="1">
      <c r="AO742" s="612" t="str">
        <f t="shared" si="96"/>
        <v>blank</v>
      </c>
      <c r="AP742" s="260" t="str">
        <f t="shared" si="97"/>
        <v>blank</v>
      </c>
      <c r="AQ742" s="548" t="str">
        <f t="shared" si="93"/>
        <v/>
      </c>
      <c r="AR742" s="260" t="str">
        <f t="shared" si="94"/>
        <v/>
      </c>
      <c r="AS742" s="260" t="str">
        <f t="shared" si="95"/>
        <v/>
      </c>
    </row>
    <row r="743" spans="41:45" hidden="1">
      <c r="AO743" s="612" t="str">
        <f t="shared" si="96"/>
        <v>blank</v>
      </c>
      <c r="AP743" s="260" t="str">
        <f t="shared" si="97"/>
        <v>blank</v>
      </c>
      <c r="AQ743" s="548" t="str">
        <f t="shared" si="93"/>
        <v/>
      </c>
      <c r="AR743" s="260" t="str">
        <f t="shared" si="94"/>
        <v/>
      </c>
      <c r="AS743" s="260" t="str">
        <f t="shared" si="95"/>
        <v/>
      </c>
    </row>
    <row r="744" spans="41:45" hidden="1">
      <c r="AO744" s="612" t="str">
        <f t="shared" si="96"/>
        <v>blank</v>
      </c>
      <c r="AP744" s="260" t="str">
        <f t="shared" si="97"/>
        <v>blank</v>
      </c>
      <c r="AQ744" s="548" t="str">
        <f t="shared" si="93"/>
        <v/>
      </c>
      <c r="AR744" s="260" t="str">
        <f t="shared" si="94"/>
        <v/>
      </c>
      <c r="AS744" s="260" t="str">
        <f t="shared" si="95"/>
        <v/>
      </c>
    </row>
    <row r="745" spans="41:45" hidden="1">
      <c r="AO745" s="612" t="str">
        <f t="shared" si="96"/>
        <v>blank</v>
      </c>
      <c r="AP745" s="260" t="str">
        <f t="shared" si="97"/>
        <v>blank</v>
      </c>
      <c r="AQ745" s="548" t="str">
        <f t="shared" si="93"/>
        <v/>
      </c>
      <c r="AR745" s="260" t="str">
        <f t="shared" si="94"/>
        <v/>
      </c>
      <c r="AS745" s="260" t="str">
        <f t="shared" si="95"/>
        <v/>
      </c>
    </row>
    <row r="746" spans="41:45" hidden="1">
      <c r="AO746" s="612" t="str">
        <f t="shared" si="96"/>
        <v>blank</v>
      </c>
      <c r="AP746" s="260" t="str">
        <f t="shared" si="97"/>
        <v>blank</v>
      </c>
      <c r="AQ746" s="548" t="str">
        <f t="shared" si="93"/>
        <v/>
      </c>
      <c r="AR746" s="260" t="str">
        <f t="shared" si="94"/>
        <v/>
      </c>
      <c r="AS746" s="260" t="str">
        <f t="shared" si="95"/>
        <v/>
      </c>
    </row>
    <row r="747" spans="41:45" hidden="1">
      <c r="AO747" s="612" t="str">
        <f t="shared" si="96"/>
        <v>blank</v>
      </c>
      <c r="AP747" s="260" t="str">
        <f t="shared" si="97"/>
        <v>blank</v>
      </c>
      <c r="AQ747" s="548" t="str">
        <f t="shared" si="93"/>
        <v/>
      </c>
      <c r="AR747" s="260" t="str">
        <f t="shared" si="94"/>
        <v/>
      </c>
      <c r="AS747" s="260" t="str">
        <f t="shared" si="95"/>
        <v/>
      </c>
    </row>
    <row r="748" spans="41:45" hidden="1">
      <c r="AO748" s="612" t="str">
        <f t="shared" si="96"/>
        <v>blank</v>
      </c>
      <c r="AP748" s="260" t="str">
        <f t="shared" si="97"/>
        <v>blank</v>
      </c>
      <c r="AQ748" s="548" t="str">
        <f t="shared" si="93"/>
        <v/>
      </c>
      <c r="AR748" s="260" t="str">
        <f t="shared" si="94"/>
        <v/>
      </c>
      <c r="AS748" s="260" t="str">
        <f t="shared" si="95"/>
        <v/>
      </c>
    </row>
    <row r="749" spans="41:45" hidden="1">
      <c r="AO749" s="612" t="str">
        <f t="shared" si="96"/>
        <v>blank</v>
      </c>
      <c r="AP749" s="260" t="str">
        <f t="shared" si="97"/>
        <v>blank</v>
      </c>
      <c r="AQ749" s="548" t="str">
        <f t="shared" si="93"/>
        <v/>
      </c>
      <c r="AR749" s="260" t="str">
        <f t="shared" si="94"/>
        <v/>
      </c>
      <c r="AS749" s="260" t="str">
        <f t="shared" si="95"/>
        <v/>
      </c>
    </row>
    <row r="750" spans="41:45" hidden="1">
      <c r="AO750" s="612" t="str">
        <f t="shared" si="96"/>
        <v>blank</v>
      </c>
      <c r="AP750" s="260" t="str">
        <f t="shared" si="97"/>
        <v>blank</v>
      </c>
      <c r="AQ750" s="548" t="str">
        <f t="shared" si="93"/>
        <v/>
      </c>
      <c r="AR750" s="260" t="str">
        <f t="shared" si="94"/>
        <v/>
      </c>
      <c r="AS750" s="260" t="str">
        <f t="shared" si="95"/>
        <v/>
      </c>
    </row>
    <row r="751" spans="41:45" hidden="1">
      <c r="AO751" s="612" t="str">
        <f t="shared" si="96"/>
        <v>blank</v>
      </c>
      <c r="AP751" s="260" t="str">
        <f t="shared" si="97"/>
        <v>blank</v>
      </c>
      <c r="AQ751" s="548" t="str">
        <f t="shared" si="93"/>
        <v/>
      </c>
      <c r="AR751" s="260" t="str">
        <f t="shared" si="94"/>
        <v/>
      </c>
      <c r="AS751" s="260" t="str">
        <f t="shared" si="95"/>
        <v/>
      </c>
    </row>
    <row r="752" spans="41:45" hidden="1">
      <c r="AO752" s="612" t="str">
        <f t="shared" si="96"/>
        <v>blank</v>
      </c>
      <c r="AP752" s="260" t="str">
        <f t="shared" si="97"/>
        <v>blank</v>
      </c>
      <c r="AQ752" s="548" t="str">
        <f t="shared" si="93"/>
        <v/>
      </c>
      <c r="AR752" s="260" t="str">
        <f t="shared" si="94"/>
        <v/>
      </c>
      <c r="AS752" s="260" t="str">
        <f t="shared" si="95"/>
        <v/>
      </c>
    </row>
    <row r="753" spans="41:45" hidden="1">
      <c r="AO753" s="612" t="str">
        <f t="shared" si="96"/>
        <v>blank</v>
      </c>
      <c r="AP753" s="260" t="str">
        <f t="shared" si="97"/>
        <v>blank</v>
      </c>
      <c r="AQ753" s="548" t="str">
        <f t="shared" si="93"/>
        <v/>
      </c>
      <c r="AR753" s="260" t="str">
        <f t="shared" si="94"/>
        <v/>
      </c>
      <c r="AS753" s="260" t="str">
        <f t="shared" si="95"/>
        <v/>
      </c>
    </row>
    <row r="754" spans="41:45" hidden="1">
      <c r="AO754" s="612" t="str">
        <f t="shared" si="96"/>
        <v>blank</v>
      </c>
      <c r="AP754" s="260" t="str">
        <f t="shared" si="97"/>
        <v>blank</v>
      </c>
      <c r="AQ754" s="548" t="str">
        <f t="shared" si="93"/>
        <v/>
      </c>
      <c r="AR754" s="260" t="str">
        <f t="shared" si="94"/>
        <v/>
      </c>
      <c r="AS754" s="260" t="str">
        <f t="shared" si="95"/>
        <v/>
      </c>
    </row>
    <row r="755" spans="41:45" hidden="1">
      <c r="AO755" s="612" t="str">
        <f t="shared" si="96"/>
        <v>blank</v>
      </c>
      <c r="AP755" s="260" t="str">
        <f t="shared" si="97"/>
        <v>blank</v>
      </c>
      <c r="AQ755" s="548" t="str">
        <f t="shared" si="93"/>
        <v/>
      </c>
      <c r="AR755" s="260" t="str">
        <f t="shared" si="94"/>
        <v/>
      </c>
      <c r="AS755" s="260" t="str">
        <f t="shared" si="95"/>
        <v/>
      </c>
    </row>
    <row r="756" spans="41:45" hidden="1">
      <c r="AO756" s="612" t="str">
        <f t="shared" si="96"/>
        <v>blank</v>
      </c>
      <c r="AP756" s="260" t="str">
        <f t="shared" si="97"/>
        <v>blank</v>
      </c>
      <c r="AQ756" s="548" t="str">
        <f t="shared" si="93"/>
        <v/>
      </c>
      <c r="AR756" s="260" t="str">
        <f t="shared" si="94"/>
        <v/>
      </c>
      <c r="AS756" s="260" t="str">
        <f t="shared" si="95"/>
        <v/>
      </c>
    </row>
    <row r="757" spans="41:45" hidden="1">
      <c r="AO757" s="612" t="str">
        <f t="shared" si="96"/>
        <v>blank</v>
      </c>
      <c r="AP757" s="260" t="str">
        <f t="shared" si="97"/>
        <v>blank</v>
      </c>
      <c r="AQ757" s="548" t="str">
        <f t="shared" si="93"/>
        <v/>
      </c>
      <c r="AR757" s="260" t="str">
        <f t="shared" si="94"/>
        <v/>
      </c>
      <c r="AS757" s="260" t="str">
        <f t="shared" si="95"/>
        <v/>
      </c>
    </row>
    <row r="758" spans="41:45" hidden="1">
      <c r="AO758" s="612" t="str">
        <f t="shared" si="96"/>
        <v>blank</v>
      </c>
      <c r="AP758" s="260" t="str">
        <f t="shared" si="97"/>
        <v>blank</v>
      </c>
      <c r="AQ758" s="548" t="str">
        <f t="shared" si="93"/>
        <v/>
      </c>
      <c r="AR758" s="260" t="str">
        <f t="shared" si="94"/>
        <v/>
      </c>
      <c r="AS758" s="260" t="str">
        <f t="shared" si="95"/>
        <v/>
      </c>
    </row>
    <row r="759" spans="41:45" hidden="1">
      <c r="AO759" s="612" t="str">
        <f t="shared" si="96"/>
        <v>blank</v>
      </c>
      <c r="AP759" s="260" t="str">
        <f t="shared" si="97"/>
        <v>blank</v>
      </c>
      <c r="AQ759" s="548" t="str">
        <f t="shared" si="93"/>
        <v/>
      </c>
      <c r="AR759" s="260" t="str">
        <f t="shared" si="94"/>
        <v/>
      </c>
      <c r="AS759" s="260" t="str">
        <f t="shared" si="95"/>
        <v/>
      </c>
    </row>
    <row r="760" spans="41:45" hidden="1">
      <c r="AO760" s="612" t="str">
        <f t="shared" si="96"/>
        <v>blank</v>
      </c>
      <c r="AP760" s="260" t="str">
        <f t="shared" si="97"/>
        <v>blank</v>
      </c>
      <c r="AQ760" s="548" t="str">
        <f t="shared" si="93"/>
        <v/>
      </c>
      <c r="AR760" s="260" t="str">
        <f t="shared" si="94"/>
        <v/>
      </c>
      <c r="AS760" s="260" t="str">
        <f t="shared" si="95"/>
        <v/>
      </c>
    </row>
    <row r="761" spans="41:45" hidden="1">
      <c r="AO761" s="612" t="str">
        <f t="shared" si="96"/>
        <v>blank</v>
      </c>
      <c r="AP761" s="260" t="str">
        <f t="shared" si="97"/>
        <v>blank</v>
      </c>
      <c r="AQ761" s="548" t="str">
        <f t="shared" si="93"/>
        <v/>
      </c>
      <c r="AR761" s="260" t="str">
        <f t="shared" si="94"/>
        <v/>
      </c>
      <c r="AS761" s="260" t="str">
        <f t="shared" si="95"/>
        <v/>
      </c>
    </row>
    <row r="762" spans="41:45" hidden="1">
      <c r="AO762" s="612" t="str">
        <f t="shared" si="96"/>
        <v>blank</v>
      </c>
      <c r="AP762" s="260" t="str">
        <f t="shared" si="97"/>
        <v>blank</v>
      </c>
      <c r="AQ762" s="548" t="str">
        <f t="shared" si="93"/>
        <v/>
      </c>
      <c r="AR762" s="260" t="str">
        <f t="shared" si="94"/>
        <v/>
      </c>
      <c r="AS762" s="260" t="str">
        <f t="shared" si="95"/>
        <v/>
      </c>
    </row>
    <row r="763" spans="41:45" hidden="1">
      <c r="AO763" s="612" t="str">
        <f t="shared" si="96"/>
        <v>blank</v>
      </c>
      <c r="AP763" s="260" t="str">
        <f t="shared" si="97"/>
        <v>blank</v>
      </c>
      <c r="AQ763" s="548" t="str">
        <f t="shared" si="93"/>
        <v/>
      </c>
      <c r="AR763" s="260" t="str">
        <f t="shared" si="94"/>
        <v/>
      </c>
      <c r="AS763" s="260" t="str">
        <f t="shared" si="95"/>
        <v/>
      </c>
    </row>
    <row r="764" spans="41:45" hidden="1">
      <c r="AO764" s="612" t="str">
        <f t="shared" si="96"/>
        <v>blank</v>
      </c>
      <c r="AP764" s="260" t="str">
        <f t="shared" si="97"/>
        <v>blank</v>
      </c>
      <c r="AQ764" s="548" t="str">
        <f t="shared" si="93"/>
        <v/>
      </c>
      <c r="AR764" s="260" t="str">
        <f t="shared" si="94"/>
        <v/>
      </c>
      <c r="AS764" s="260" t="str">
        <f t="shared" si="95"/>
        <v/>
      </c>
    </row>
    <row r="765" spans="41:45" hidden="1">
      <c r="AO765" s="612" t="str">
        <f t="shared" si="96"/>
        <v>blank</v>
      </c>
      <c r="AP765" s="260" t="str">
        <f t="shared" si="97"/>
        <v>blank</v>
      </c>
      <c r="AQ765" s="548" t="str">
        <f t="shared" si="93"/>
        <v/>
      </c>
      <c r="AR765" s="260" t="str">
        <f t="shared" si="94"/>
        <v/>
      </c>
      <c r="AS765" s="260" t="str">
        <f t="shared" si="95"/>
        <v/>
      </c>
    </row>
    <row r="766" spans="41:45" hidden="1">
      <c r="AO766" s="612" t="str">
        <f t="shared" si="96"/>
        <v>blank</v>
      </c>
      <c r="AP766" s="260" t="str">
        <f t="shared" si="97"/>
        <v>blank</v>
      </c>
      <c r="AQ766" s="548" t="str">
        <f t="shared" si="93"/>
        <v/>
      </c>
      <c r="AR766" s="260" t="str">
        <f t="shared" si="94"/>
        <v/>
      </c>
      <c r="AS766" s="260" t="str">
        <f t="shared" si="95"/>
        <v/>
      </c>
    </row>
    <row r="767" spans="41:45" hidden="1">
      <c r="AO767" s="612" t="str">
        <f t="shared" si="96"/>
        <v>blank</v>
      </c>
      <c r="AP767" s="260" t="str">
        <f t="shared" si="97"/>
        <v>blank</v>
      </c>
      <c r="AQ767" s="548" t="str">
        <f t="shared" si="93"/>
        <v/>
      </c>
      <c r="AR767" s="260" t="str">
        <f t="shared" si="94"/>
        <v/>
      </c>
      <c r="AS767" s="260" t="str">
        <f t="shared" si="95"/>
        <v/>
      </c>
    </row>
    <row r="768" spans="41:45" hidden="1">
      <c r="AO768" s="612" t="str">
        <f t="shared" si="96"/>
        <v>blank</v>
      </c>
      <c r="AP768" s="260" t="str">
        <f t="shared" si="97"/>
        <v>blank</v>
      </c>
      <c r="AQ768" s="548" t="str">
        <f t="shared" si="93"/>
        <v/>
      </c>
      <c r="AR768" s="260" t="str">
        <f t="shared" si="94"/>
        <v/>
      </c>
      <c r="AS768" s="260" t="str">
        <f t="shared" si="95"/>
        <v/>
      </c>
    </row>
    <row r="769" spans="41:45" hidden="1">
      <c r="AO769" s="612" t="str">
        <f t="shared" si="96"/>
        <v>blank</v>
      </c>
      <c r="AP769" s="260" t="str">
        <f t="shared" si="97"/>
        <v>blank</v>
      </c>
      <c r="AQ769" s="548" t="str">
        <f t="shared" si="93"/>
        <v/>
      </c>
      <c r="AR769" s="260" t="str">
        <f t="shared" si="94"/>
        <v/>
      </c>
      <c r="AS769" s="260" t="str">
        <f t="shared" si="95"/>
        <v/>
      </c>
    </row>
    <row r="770" spans="41:45" hidden="1">
      <c r="AO770" s="612" t="str">
        <f t="shared" si="96"/>
        <v>blank</v>
      </c>
      <c r="AP770" s="260" t="str">
        <f t="shared" si="97"/>
        <v>blank</v>
      </c>
      <c r="AQ770" s="548" t="str">
        <f t="shared" si="93"/>
        <v/>
      </c>
      <c r="AR770" s="260" t="str">
        <f t="shared" si="94"/>
        <v/>
      </c>
      <c r="AS770" s="260" t="str">
        <f t="shared" si="95"/>
        <v/>
      </c>
    </row>
    <row r="771" spans="41:45" hidden="1">
      <c r="AO771" s="612" t="str">
        <f t="shared" si="96"/>
        <v>blank</v>
      </c>
      <c r="AP771" s="260" t="str">
        <f t="shared" si="97"/>
        <v>blank</v>
      </c>
      <c r="AQ771" s="548" t="str">
        <f t="shared" ref="AQ771:AQ834" si="98">IFERROR(IF(AND(AO771="Yes", AP771&lt;&gt;"blank"), "有定金+客戶送貨期", IF(AND(AO771="Yes", AP771="blank"), "有定金+无客戶送貨期", IF(AND(OR(AO771="No", ISBLANK(AO771), AO771="NA"), AP771&lt;&gt;"blank"), "无定金+有客戶送貨期", IF(AND(OR(AO771="No", ISBLANK(AO771), AO771="NA"), AP771="blank"), "无定金+无客戶送貨期", "")))), "")</f>
        <v/>
      </c>
      <c r="AR771" s="260" t="str">
        <f t="shared" ref="AR771:AR834" si="99">IFERROR(IF(B771="已经到货", "Instock", IF(B771="有交期", "Incoming_Stock_With_YAMAHA_Schedule", IF(B771="TBA.", "Incoming_Stock_No_YAMAHA_Schedule", IF(B771="已发货", "Shipped_Stock", "")))), "")</f>
        <v/>
      </c>
      <c r="AS771" s="260" t="str">
        <f t="shared" ref="AS771:AS834" si="100">IF(AND(B771="有交期", L771&lt;&gt;""), L771, "")</f>
        <v/>
      </c>
    </row>
    <row r="772" spans="41:45" hidden="1">
      <c r="AO772" s="612" t="str">
        <f t="shared" si="96"/>
        <v>blank</v>
      </c>
      <c r="AP772" s="260" t="str">
        <f t="shared" si="97"/>
        <v>blank</v>
      </c>
      <c r="AQ772" s="548" t="str">
        <f t="shared" si="98"/>
        <v/>
      </c>
      <c r="AR772" s="260" t="str">
        <f t="shared" si="99"/>
        <v/>
      </c>
      <c r="AS772" s="260" t="str">
        <f t="shared" si="100"/>
        <v/>
      </c>
    </row>
    <row r="773" spans="41:45" hidden="1">
      <c r="AO773" s="612" t="str">
        <f t="shared" si="96"/>
        <v>blank</v>
      </c>
      <c r="AP773" s="260" t="str">
        <f t="shared" si="97"/>
        <v>blank</v>
      </c>
      <c r="AQ773" s="548" t="str">
        <f t="shared" si="98"/>
        <v/>
      </c>
      <c r="AR773" s="260" t="str">
        <f t="shared" si="99"/>
        <v/>
      </c>
      <c r="AS773" s="260" t="str">
        <f t="shared" si="100"/>
        <v/>
      </c>
    </row>
    <row r="774" spans="41:45" hidden="1">
      <c r="AO774" s="612" t="str">
        <f t="shared" si="96"/>
        <v>blank</v>
      </c>
      <c r="AP774" s="260" t="str">
        <f t="shared" si="97"/>
        <v>blank</v>
      </c>
      <c r="AQ774" s="548" t="str">
        <f t="shared" si="98"/>
        <v/>
      </c>
      <c r="AR774" s="260" t="str">
        <f t="shared" si="99"/>
        <v/>
      </c>
      <c r="AS774" s="260" t="str">
        <f t="shared" si="100"/>
        <v/>
      </c>
    </row>
    <row r="775" spans="41:45" hidden="1">
      <c r="AO775" s="612" t="str">
        <f t="shared" si="96"/>
        <v>blank</v>
      </c>
      <c r="AP775" s="260" t="str">
        <f t="shared" si="97"/>
        <v>blank</v>
      </c>
      <c r="AQ775" s="548" t="str">
        <f t="shared" si="98"/>
        <v/>
      </c>
      <c r="AR775" s="260" t="str">
        <f t="shared" si="99"/>
        <v/>
      </c>
      <c r="AS775" s="260" t="str">
        <f t="shared" si="100"/>
        <v/>
      </c>
    </row>
    <row r="776" spans="41:45" hidden="1">
      <c r="AO776" s="612" t="str">
        <f t="shared" si="96"/>
        <v>blank</v>
      </c>
      <c r="AP776" s="260" t="str">
        <f t="shared" si="97"/>
        <v>blank</v>
      </c>
      <c r="AQ776" s="548" t="str">
        <f t="shared" si="98"/>
        <v/>
      </c>
      <c r="AR776" s="260" t="str">
        <f t="shared" si="99"/>
        <v/>
      </c>
      <c r="AS776" s="260" t="str">
        <f t="shared" si="100"/>
        <v/>
      </c>
    </row>
    <row r="777" spans="41:45" hidden="1">
      <c r="AO777" s="612" t="str">
        <f t="shared" si="96"/>
        <v>blank</v>
      </c>
      <c r="AP777" s="260" t="str">
        <f t="shared" si="97"/>
        <v>blank</v>
      </c>
      <c r="AQ777" s="548" t="str">
        <f t="shared" si="98"/>
        <v/>
      </c>
      <c r="AR777" s="260" t="str">
        <f t="shared" si="99"/>
        <v/>
      </c>
      <c r="AS777" s="260" t="str">
        <f t="shared" si="100"/>
        <v/>
      </c>
    </row>
    <row r="778" spans="41:45" hidden="1">
      <c r="AO778" s="612" t="str">
        <f t="shared" si="96"/>
        <v>blank</v>
      </c>
      <c r="AP778" s="260" t="str">
        <f t="shared" si="97"/>
        <v>blank</v>
      </c>
      <c r="AQ778" s="548" t="str">
        <f t="shared" si="98"/>
        <v/>
      </c>
      <c r="AR778" s="260" t="str">
        <f t="shared" si="99"/>
        <v/>
      </c>
      <c r="AS778" s="260" t="str">
        <f t="shared" si="100"/>
        <v/>
      </c>
    </row>
    <row r="779" spans="41:45" hidden="1">
      <c r="AO779" s="612" t="str">
        <f t="shared" si="96"/>
        <v>blank</v>
      </c>
      <c r="AP779" s="260" t="str">
        <f t="shared" si="97"/>
        <v>blank</v>
      </c>
      <c r="AQ779" s="548" t="str">
        <f t="shared" si="98"/>
        <v/>
      </c>
      <c r="AR779" s="260" t="str">
        <f t="shared" si="99"/>
        <v/>
      </c>
      <c r="AS779" s="260" t="str">
        <f t="shared" si="100"/>
        <v/>
      </c>
    </row>
    <row r="780" spans="41:45" hidden="1">
      <c r="AO780" s="612" t="str">
        <f t="shared" si="96"/>
        <v>blank</v>
      </c>
      <c r="AP780" s="260" t="str">
        <f t="shared" si="97"/>
        <v>blank</v>
      </c>
      <c r="AQ780" s="548" t="str">
        <f t="shared" si="98"/>
        <v/>
      </c>
      <c r="AR780" s="260" t="str">
        <f t="shared" si="99"/>
        <v/>
      </c>
      <c r="AS780" s="260" t="str">
        <f t="shared" si="100"/>
        <v/>
      </c>
    </row>
    <row r="781" spans="41:45" hidden="1">
      <c r="AO781" s="612" t="str">
        <f t="shared" si="96"/>
        <v>blank</v>
      </c>
      <c r="AP781" s="260" t="str">
        <f t="shared" si="97"/>
        <v>blank</v>
      </c>
      <c r="AQ781" s="548" t="str">
        <f t="shared" si="98"/>
        <v/>
      </c>
      <c r="AR781" s="260" t="str">
        <f t="shared" si="99"/>
        <v/>
      </c>
      <c r="AS781" s="260" t="str">
        <f t="shared" si="100"/>
        <v/>
      </c>
    </row>
    <row r="782" spans="41:45" hidden="1">
      <c r="AO782" s="612" t="str">
        <f t="shared" si="96"/>
        <v>blank</v>
      </c>
      <c r="AP782" s="260" t="str">
        <f t="shared" si="97"/>
        <v>blank</v>
      </c>
      <c r="AQ782" s="548" t="str">
        <f t="shared" si="98"/>
        <v/>
      </c>
      <c r="AR782" s="260" t="str">
        <f t="shared" si="99"/>
        <v/>
      </c>
      <c r="AS782" s="260" t="str">
        <f t="shared" si="100"/>
        <v/>
      </c>
    </row>
    <row r="783" spans="41:45" hidden="1">
      <c r="AO783" s="612" t="str">
        <f t="shared" si="96"/>
        <v>blank</v>
      </c>
      <c r="AP783" s="260" t="str">
        <f t="shared" si="97"/>
        <v>blank</v>
      </c>
      <c r="AQ783" s="548" t="str">
        <f t="shared" si="98"/>
        <v/>
      </c>
      <c r="AR783" s="260" t="str">
        <f t="shared" si="99"/>
        <v/>
      </c>
      <c r="AS783" s="260" t="str">
        <f t="shared" si="100"/>
        <v/>
      </c>
    </row>
    <row r="784" spans="41:45" hidden="1">
      <c r="AO784" s="612" t="str">
        <f t="shared" si="96"/>
        <v>blank</v>
      </c>
      <c r="AP784" s="260" t="str">
        <f t="shared" si="97"/>
        <v>blank</v>
      </c>
      <c r="AQ784" s="548" t="str">
        <f t="shared" si="98"/>
        <v/>
      </c>
      <c r="AR784" s="260" t="str">
        <f t="shared" si="99"/>
        <v/>
      </c>
      <c r="AS784" s="260" t="str">
        <f t="shared" si="100"/>
        <v/>
      </c>
    </row>
    <row r="785" spans="41:45" hidden="1">
      <c r="AO785" s="612" t="str">
        <f t="shared" si="96"/>
        <v>blank</v>
      </c>
      <c r="AP785" s="260" t="str">
        <f t="shared" si="97"/>
        <v>blank</v>
      </c>
      <c r="AQ785" s="548" t="str">
        <f t="shared" si="98"/>
        <v/>
      </c>
      <c r="AR785" s="260" t="str">
        <f t="shared" si="99"/>
        <v/>
      </c>
      <c r="AS785" s="260" t="str">
        <f t="shared" si="100"/>
        <v/>
      </c>
    </row>
    <row r="786" spans="41:45" hidden="1">
      <c r="AO786" s="612" t="str">
        <f t="shared" si="96"/>
        <v>blank</v>
      </c>
      <c r="AP786" s="260" t="str">
        <f t="shared" si="97"/>
        <v>blank</v>
      </c>
      <c r="AQ786" s="548" t="str">
        <f t="shared" si="98"/>
        <v/>
      </c>
      <c r="AR786" s="260" t="str">
        <f t="shared" si="99"/>
        <v/>
      </c>
      <c r="AS786" s="260" t="str">
        <f t="shared" si="100"/>
        <v/>
      </c>
    </row>
    <row r="787" spans="41:45" hidden="1">
      <c r="AO787" s="612" t="str">
        <f t="shared" si="96"/>
        <v>blank</v>
      </c>
      <c r="AP787" s="260" t="str">
        <f t="shared" si="97"/>
        <v>blank</v>
      </c>
      <c r="AQ787" s="548" t="str">
        <f t="shared" si="98"/>
        <v/>
      </c>
      <c r="AR787" s="260" t="str">
        <f t="shared" si="99"/>
        <v/>
      </c>
      <c r="AS787" s="260" t="str">
        <f t="shared" si="100"/>
        <v/>
      </c>
    </row>
    <row r="788" spans="41:45" hidden="1">
      <c r="AO788" s="612" t="str">
        <f t="shared" si="96"/>
        <v>blank</v>
      </c>
      <c r="AP788" s="260" t="str">
        <f t="shared" si="97"/>
        <v>blank</v>
      </c>
      <c r="AQ788" s="548" t="str">
        <f t="shared" si="98"/>
        <v/>
      </c>
      <c r="AR788" s="260" t="str">
        <f t="shared" si="99"/>
        <v/>
      </c>
      <c r="AS788" s="260" t="str">
        <f t="shared" si="100"/>
        <v/>
      </c>
    </row>
    <row r="789" spans="41:45" hidden="1">
      <c r="AO789" s="612" t="str">
        <f t="shared" si="96"/>
        <v>blank</v>
      </c>
      <c r="AP789" s="260" t="str">
        <f t="shared" si="97"/>
        <v>blank</v>
      </c>
      <c r="AQ789" s="548" t="str">
        <f t="shared" si="98"/>
        <v/>
      </c>
      <c r="AR789" s="260" t="str">
        <f t="shared" si="99"/>
        <v/>
      </c>
      <c r="AS789" s="260" t="str">
        <f t="shared" si="100"/>
        <v/>
      </c>
    </row>
    <row r="790" spans="41:45" hidden="1">
      <c r="AO790" s="612" t="str">
        <f t="shared" ref="AO790:AO853" si="101">IFERROR(IF(Y790&lt;&gt;"",Y790,"blank"),"NA")</f>
        <v>blank</v>
      </c>
      <c r="AP790" s="260" t="str">
        <f t="shared" ref="AP790:AP853" si="102">IFERROR(IF(N790&lt;&gt;"",N790,"blank"),"NA")</f>
        <v>blank</v>
      </c>
      <c r="AQ790" s="548" t="str">
        <f t="shared" si="98"/>
        <v/>
      </c>
      <c r="AR790" s="260" t="str">
        <f t="shared" si="99"/>
        <v/>
      </c>
      <c r="AS790" s="260" t="str">
        <f t="shared" si="100"/>
        <v/>
      </c>
    </row>
    <row r="791" spans="41:45" hidden="1">
      <c r="AO791" s="612" t="str">
        <f t="shared" si="101"/>
        <v>blank</v>
      </c>
      <c r="AP791" s="260" t="str">
        <f t="shared" si="102"/>
        <v>blank</v>
      </c>
      <c r="AQ791" s="548" t="str">
        <f t="shared" si="98"/>
        <v/>
      </c>
      <c r="AR791" s="260" t="str">
        <f t="shared" si="99"/>
        <v/>
      </c>
      <c r="AS791" s="260" t="str">
        <f t="shared" si="100"/>
        <v/>
      </c>
    </row>
    <row r="792" spans="41:45" hidden="1">
      <c r="AO792" s="612" t="str">
        <f t="shared" si="101"/>
        <v>blank</v>
      </c>
      <c r="AP792" s="260" t="str">
        <f t="shared" si="102"/>
        <v>blank</v>
      </c>
      <c r="AQ792" s="548" t="str">
        <f t="shared" si="98"/>
        <v/>
      </c>
      <c r="AR792" s="260" t="str">
        <f t="shared" si="99"/>
        <v/>
      </c>
      <c r="AS792" s="260" t="str">
        <f t="shared" si="100"/>
        <v/>
      </c>
    </row>
    <row r="793" spans="41:45" hidden="1">
      <c r="AO793" s="612" t="str">
        <f t="shared" si="101"/>
        <v>blank</v>
      </c>
      <c r="AP793" s="260" t="str">
        <f t="shared" si="102"/>
        <v>blank</v>
      </c>
      <c r="AQ793" s="548" t="str">
        <f t="shared" si="98"/>
        <v/>
      </c>
      <c r="AR793" s="260" t="str">
        <f t="shared" si="99"/>
        <v/>
      </c>
      <c r="AS793" s="260" t="str">
        <f t="shared" si="100"/>
        <v/>
      </c>
    </row>
    <row r="794" spans="41:45" hidden="1">
      <c r="AO794" s="612" t="str">
        <f t="shared" si="101"/>
        <v>blank</v>
      </c>
      <c r="AP794" s="260" t="str">
        <f t="shared" si="102"/>
        <v>blank</v>
      </c>
      <c r="AQ794" s="548" t="str">
        <f t="shared" si="98"/>
        <v/>
      </c>
      <c r="AR794" s="260" t="str">
        <f t="shared" si="99"/>
        <v/>
      </c>
      <c r="AS794" s="260" t="str">
        <f t="shared" si="100"/>
        <v/>
      </c>
    </row>
    <row r="795" spans="41:45" hidden="1">
      <c r="AO795" s="612" t="str">
        <f t="shared" si="101"/>
        <v>blank</v>
      </c>
      <c r="AP795" s="260" t="str">
        <f t="shared" si="102"/>
        <v>blank</v>
      </c>
      <c r="AQ795" s="548" t="str">
        <f t="shared" si="98"/>
        <v/>
      </c>
      <c r="AR795" s="260" t="str">
        <f t="shared" si="99"/>
        <v/>
      </c>
      <c r="AS795" s="260" t="str">
        <f t="shared" si="100"/>
        <v/>
      </c>
    </row>
    <row r="796" spans="41:45" hidden="1">
      <c r="AO796" s="612" t="str">
        <f t="shared" si="101"/>
        <v>blank</v>
      </c>
      <c r="AP796" s="260" t="str">
        <f t="shared" si="102"/>
        <v>blank</v>
      </c>
      <c r="AQ796" s="548" t="str">
        <f t="shared" si="98"/>
        <v/>
      </c>
      <c r="AR796" s="260" t="str">
        <f t="shared" si="99"/>
        <v/>
      </c>
      <c r="AS796" s="260" t="str">
        <f t="shared" si="100"/>
        <v/>
      </c>
    </row>
    <row r="797" spans="41:45" hidden="1">
      <c r="AO797" s="612" t="str">
        <f t="shared" si="101"/>
        <v>blank</v>
      </c>
      <c r="AP797" s="260" t="str">
        <f t="shared" si="102"/>
        <v>blank</v>
      </c>
      <c r="AQ797" s="548" t="str">
        <f t="shared" si="98"/>
        <v/>
      </c>
      <c r="AR797" s="260" t="str">
        <f t="shared" si="99"/>
        <v/>
      </c>
      <c r="AS797" s="260" t="str">
        <f t="shared" si="100"/>
        <v/>
      </c>
    </row>
    <row r="798" spans="41:45" hidden="1">
      <c r="AO798" s="612" t="str">
        <f t="shared" si="101"/>
        <v>blank</v>
      </c>
      <c r="AP798" s="260" t="str">
        <f t="shared" si="102"/>
        <v>blank</v>
      </c>
      <c r="AQ798" s="548" t="str">
        <f t="shared" si="98"/>
        <v/>
      </c>
      <c r="AR798" s="260" t="str">
        <f t="shared" si="99"/>
        <v/>
      </c>
      <c r="AS798" s="260" t="str">
        <f t="shared" si="100"/>
        <v/>
      </c>
    </row>
    <row r="799" spans="41:45" hidden="1">
      <c r="AO799" s="612" t="str">
        <f t="shared" si="101"/>
        <v>blank</v>
      </c>
      <c r="AP799" s="260" t="str">
        <f t="shared" si="102"/>
        <v>blank</v>
      </c>
      <c r="AQ799" s="548" t="str">
        <f t="shared" si="98"/>
        <v/>
      </c>
      <c r="AR799" s="260" t="str">
        <f t="shared" si="99"/>
        <v/>
      </c>
      <c r="AS799" s="260" t="str">
        <f t="shared" si="100"/>
        <v/>
      </c>
    </row>
    <row r="800" spans="41:45" hidden="1">
      <c r="AO800" s="612" t="str">
        <f t="shared" si="101"/>
        <v>blank</v>
      </c>
      <c r="AP800" s="260" t="str">
        <f t="shared" si="102"/>
        <v>blank</v>
      </c>
      <c r="AQ800" s="548" t="str">
        <f t="shared" si="98"/>
        <v/>
      </c>
      <c r="AR800" s="260" t="str">
        <f t="shared" si="99"/>
        <v/>
      </c>
      <c r="AS800" s="260" t="str">
        <f t="shared" si="100"/>
        <v/>
      </c>
    </row>
    <row r="801" spans="41:45" hidden="1">
      <c r="AO801" s="612" t="str">
        <f t="shared" si="101"/>
        <v>blank</v>
      </c>
      <c r="AP801" s="260" t="str">
        <f t="shared" si="102"/>
        <v>blank</v>
      </c>
      <c r="AQ801" s="548" t="str">
        <f t="shared" si="98"/>
        <v/>
      </c>
      <c r="AR801" s="260" t="str">
        <f t="shared" si="99"/>
        <v/>
      </c>
      <c r="AS801" s="260" t="str">
        <f t="shared" si="100"/>
        <v/>
      </c>
    </row>
    <row r="802" spans="41:45" hidden="1">
      <c r="AO802" s="612" t="str">
        <f t="shared" si="101"/>
        <v>blank</v>
      </c>
      <c r="AP802" s="260" t="str">
        <f t="shared" si="102"/>
        <v>blank</v>
      </c>
      <c r="AQ802" s="548" t="str">
        <f t="shared" si="98"/>
        <v/>
      </c>
      <c r="AR802" s="260" t="str">
        <f t="shared" si="99"/>
        <v/>
      </c>
      <c r="AS802" s="260" t="str">
        <f t="shared" si="100"/>
        <v/>
      </c>
    </row>
    <row r="803" spans="41:45" hidden="1">
      <c r="AO803" s="612" t="str">
        <f t="shared" si="101"/>
        <v>blank</v>
      </c>
      <c r="AP803" s="260" t="str">
        <f t="shared" si="102"/>
        <v>blank</v>
      </c>
      <c r="AQ803" s="548" t="str">
        <f t="shared" si="98"/>
        <v/>
      </c>
      <c r="AR803" s="260" t="str">
        <f t="shared" si="99"/>
        <v/>
      </c>
      <c r="AS803" s="260" t="str">
        <f t="shared" si="100"/>
        <v/>
      </c>
    </row>
    <row r="804" spans="41:45" hidden="1">
      <c r="AO804" s="612" t="str">
        <f t="shared" si="101"/>
        <v>blank</v>
      </c>
      <c r="AP804" s="260" t="str">
        <f t="shared" si="102"/>
        <v>blank</v>
      </c>
      <c r="AQ804" s="548" t="str">
        <f t="shared" si="98"/>
        <v/>
      </c>
      <c r="AR804" s="260" t="str">
        <f t="shared" si="99"/>
        <v/>
      </c>
      <c r="AS804" s="260" t="str">
        <f t="shared" si="100"/>
        <v/>
      </c>
    </row>
    <row r="805" spans="41:45" hidden="1">
      <c r="AO805" s="612" t="str">
        <f t="shared" si="101"/>
        <v>blank</v>
      </c>
      <c r="AP805" s="260" t="str">
        <f t="shared" si="102"/>
        <v>blank</v>
      </c>
      <c r="AQ805" s="548" t="str">
        <f t="shared" si="98"/>
        <v/>
      </c>
      <c r="AR805" s="260" t="str">
        <f t="shared" si="99"/>
        <v/>
      </c>
      <c r="AS805" s="260" t="str">
        <f t="shared" si="100"/>
        <v/>
      </c>
    </row>
    <row r="806" spans="41:45" hidden="1">
      <c r="AO806" s="612" t="str">
        <f t="shared" si="101"/>
        <v>blank</v>
      </c>
      <c r="AP806" s="260" t="str">
        <f t="shared" si="102"/>
        <v>blank</v>
      </c>
      <c r="AQ806" s="548" t="str">
        <f t="shared" si="98"/>
        <v/>
      </c>
      <c r="AR806" s="260" t="str">
        <f t="shared" si="99"/>
        <v/>
      </c>
      <c r="AS806" s="260" t="str">
        <f t="shared" si="100"/>
        <v/>
      </c>
    </row>
    <row r="807" spans="41:45" hidden="1">
      <c r="AO807" s="612" t="str">
        <f t="shared" si="101"/>
        <v>blank</v>
      </c>
      <c r="AP807" s="260" t="str">
        <f t="shared" si="102"/>
        <v>blank</v>
      </c>
      <c r="AQ807" s="548" t="str">
        <f t="shared" si="98"/>
        <v/>
      </c>
      <c r="AR807" s="260" t="str">
        <f t="shared" si="99"/>
        <v/>
      </c>
      <c r="AS807" s="260" t="str">
        <f t="shared" si="100"/>
        <v/>
      </c>
    </row>
    <row r="808" spans="41:45" hidden="1">
      <c r="AO808" s="612" t="str">
        <f t="shared" si="101"/>
        <v>blank</v>
      </c>
      <c r="AP808" s="260" t="str">
        <f t="shared" si="102"/>
        <v>blank</v>
      </c>
      <c r="AQ808" s="548" t="str">
        <f t="shared" si="98"/>
        <v/>
      </c>
      <c r="AR808" s="260" t="str">
        <f t="shared" si="99"/>
        <v/>
      </c>
      <c r="AS808" s="260" t="str">
        <f t="shared" si="100"/>
        <v/>
      </c>
    </row>
    <row r="809" spans="41:45" hidden="1">
      <c r="AO809" s="612" t="str">
        <f t="shared" si="101"/>
        <v>blank</v>
      </c>
      <c r="AP809" s="260" t="str">
        <f t="shared" si="102"/>
        <v>blank</v>
      </c>
      <c r="AQ809" s="548" t="str">
        <f t="shared" si="98"/>
        <v/>
      </c>
      <c r="AR809" s="260" t="str">
        <f t="shared" si="99"/>
        <v/>
      </c>
      <c r="AS809" s="260" t="str">
        <f t="shared" si="100"/>
        <v/>
      </c>
    </row>
    <row r="810" spans="41:45" hidden="1">
      <c r="AO810" s="612" t="str">
        <f t="shared" si="101"/>
        <v>blank</v>
      </c>
      <c r="AP810" s="260" t="str">
        <f t="shared" si="102"/>
        <v>blank</v>
      </c>
      <c r="AQ810" s="548" t="str">
        <f t="shared" si="98"/>
        <v/>
      </c>
      <c r="AR810" s="260" t="str">
        <f t="shared" si="99"/>
        <v/>
      </c>
      <c r="AS810" s="260" t="str">
        <f t="shared" si="100"/>
        <v/>
      </c>
    </row>
    <row r="811" spans="41:45" hidden="1">
      <c r="AO811" s="612" t="str">
        <f t="shared" si="101"/>
        <v>blank</v>
      </c>
      <c r="AP811" s="260" t="str">
        <f t="shared" si="102"/>
        <v>blank</v>
      </c>
      <c r="AQ811" s="548" t="str">
        <f t="shared" si="98"/>
        <v/>
      </c>
      <c r="AR811" s="260" t="str">
        <f t="shared" si="99"/>
        <v/>
      </c>
      <c r="AS811" s="260" t="str">
        <f t="shared" si="100"/>
        <v/>
      </c>
    </row>
    <row r="812" spans="41:45" hidden="1">
      <c r="AO812" s="612" t="str">
        <f t="shared" si="101"/>
        <v>blank</v>
      </c>
      <c r="AP812" s="260" t="str">
        <f t="shared" si="102"/>
        <v>blank</v>
      </c>
      <c r="AQ812" s="548" t="str">
        <f t="shared" si="98"/>
        <v/>
      </c>
      <c r="AR812" s="260" t="str">
        <f t="shared" si="99"/>
        <v/>
      </c>
      <c r="AS812" s="260" t="str">
        <f t="shared" si="100"/>
        <v/>
      </c>
    </row>
    <row r="813" spans="41:45" hidden="1">
      <c r="AO813" s="612" t="str">
        <f t="shared" si="101"/>
        <v>blank</v>
      </c>
      <c r="AP813" s="260" t="str">
        <f t="shared" si="102"/>
        <v>blank</v>
      </c>
      <c r="AQ813" s="548" t="str">
        <f t="shared" si="98"/>
        <v/>
      </c>
      <c r="AR813" s="260" t="str">
        <f t="shared" si="99"/>
        <v/>
      </c>
      <c r="AS813" s="260" t="str">
        <f t="shared" si="100"/>
        <v/>
      </c>
    </row>
    <row r="814" spans="41:45" hidden="1">
      <c r="AO814" s="612" t="str">
        <f t="shared" si="101"/>
        <v>blank</v>
      </c>
      <c r="AP814" s="260" t="str">
        <f t="shared" si="102"/>
        <v>blank</v>
      </c>
      <c r="AQ814" s="548" t="str">
        <f t="shared" si="98"/>
        <v/>
      </c>
      <c r="AR814" s="260" t="str">
        <f t="shared" si="99"/>
        <v/>
      </c>
      <c r="AS814" s="260" t="str">
        <f t="shared" si="100"/>
        <v/>
      </c>
    </row>
    <row r="815" spans="41:45" hidden="1">
      <c r="AO815" s="612" t="str">
        <f t="shared" si="101"/>
        <v>blank</v>
      </c>
      <c r="AP815" s="260" t="str">
        <f t="shared" si="102"/>
        <v>blank</v>
      </c>
      <c r="AQ815" s="548" t="str">
        <f t="shared" si="98"/>
        <v/>
      </c>
      <c r="AR815" s="260" t="str">
        <f t="shared" si="99"/>
        <v/>
      </c>
      <c r="AS815" s="260" t="str">
        <f t="shared" si="100"/>
        <v/>
      </c>
    </row>
    <row r="816" spans="41:45" hidden="1">
      <c r="AO816" s="612" t="str">
        <f t="shared" si="101"/>
        <v>blank</v>
      </c>
      <c r="AP816" s="260" t="str">
        <f t="shared" si="102"/>
        <v>blank</v>
      </c>
      <c r="AQ816" s="548" t="str">
        <f t="shared" si="98"/>
        <v/>
      </c>
      <c r="AR816" s="260" t="str">
        <f t="shared" si="99"/>
        <v/>
      </c>
      <c r="AS816" s="260" t="str">
        <f t="shared" si="100"/>
        <v/>
      </c>
    </row>
    <row r="817" spans="41:45" hidden="1">
      <c r="AO817" s="612" t="str">
        <f t="shared" si="101"/>
        <v>blank</v>
      </c>
      <c r="AP817" s="260" t="str">
        <f t="shared" si="102"/>
        <v>blank</v>
      </c>
      <c r="AQ817" s="548" t="str">
        <f t="shared" si="98"/>
        <v/>
      </c>
      <c r="AR817" s="260" t="str">
        <f t="shared" si="99"/>
        <v/>
      </c>
      <c r="AS817" s="260" t="str">
        <f t="shared" si="100"/>
        <v/>
      </c>
    </row>
    <row r="818" spans="41:45" hidden="1">
      <c r="AO818" s="612" t="str">
        <f t="shared" si="101"/>
        <v>blank</v>
      </c>
      <c r="AP818" s="260" t="str">
        <f t="shared" si="102"/>
        <v>blank</v>
      </c>
      <c r="AQ818" s="548" t="str">
        <f t="shared" si="98"/>
        <v/>
      </c>
      <c r="AR818" s="260" t="str">
        <f t="shared" si="99"/>
        <v/>
      </c>
      <c r="AS818" s="260" t="str">
        <f t="shared" si="100"/>
        <v/>
      </c>
    </row>
    <row r="819" spans="41:45" hidden="1">
      <c r="AO819" s="612" t="str">
        <f t="shared" si="101"/>
        <v>blank</v>
      </c>
      <c r="AP819" s="260" t="str">
        <f t="shared" si="102"/>
        <v>blank</v>
      </c>
      <c r="AQ819" s="548" t="str">
        <f t="shared" si="98"/>
        <v/>
      </c>
      <c r="AR819" s="260" t="str">
        <f t="shared" si="99"/>
        <v/>
      </c>
      <c r="AS819" s="260" t="str">
        <f t="shared" si="100"/>
        <v/>
      </c>
    </row>
    <row r="820" spans="41:45" hidden="1">
      <c r="AO820" s="612" t="str">
        <f t="shared" si="101"/>
        <v>blank</v>
      </c>
      <c r="AP820" s="260" t="str">
        <f t="shared" si="102"/>
        <v>blank</v>
      </c>
      <c r="AQ820" s="548" t="str">
        <f t="shared" si="98"/>
        <v/>
      </c>
      <c r="AR820" s="260" t="str">
        <f t="shared" si="99"/>
        <v/>
      </c>
      <c r="AS820" s="260" t="str">
        <f t="shared" si="100"/>
        <v/>
      </c>
    </row>
    <row r="821" spans="41:45" hidden="1">
      <c r="AO821" s="612" t="str">
        <f t="shared" si="101"/>
        <v>blank</v>
      </c>
      <c r="AP821" s="260" t="str">
        <f t="shared" si="102"/>
        <v>blank</v>
      </c>
      <c r="AQ821" s="548" t="str">
        <f t="shared" si="98"/>
        <v/>
      </c>
      <c r="AR821" s="260" t="str">
        <f t="shared" si="99"/>
        <v/>
      </c>
      <c r="AS821" s="260" t="str">
        <f t="shared" si="100"/>
        <v/>
      </c>
    </row>
    <row r="822" spans="41:45" hidden="1">
      <c r="AO822" s="612" t="str">
        <f t="shared" si="101"/>
        <v>blank</v>
      </c>
      <c r="AP822" s="260" t="str">
        <f t="shared" si="102"/>
        <v>blank</v>
      </c>
      <c r="AQ822" s="548" t="str">
        <f t="shared" si="98"/>
        <v/>
      </c>
      <c r="AR822" s="260" t="str">
        <f t="shared" si="99"/>
        <v/>
      </c>
      <c r="AS822" s="260" t="str">
        <f t="shared" si="100"/>
        <v/>
      </c>
    </row>
    <row r="823" spans="41:45" hidden="1">
      <c r="AO823" s="612" t="str">
        <f t="shared" si="101"/>
        <v>blank</v>
      </c>
      <c r="AP823" s="260" t="str">
        <f t="shared" si="102"/>
        <v>blank</v>
      </c>
      <c r="AQ823" s="548" t="str">
        <f t="shared" si="98"/>
        <v/>
      </c>
      <c r="AR823" s="260" t="str">
        <f t="shared" si="99"/>
        <v/>
      </c>
      <c r="AS823" s="260" t="str">
        <f t="shared" si="100"/>
        <v/>
      </c>
    </row>
    <row r="824" spans="41:45" hidden="1">
      <c r="AO824" s="612" t="str">
        <f t="shared" si="101"/>
        <v>blank</v>
      </c>
      <c r="AP824" s="260" t="str">
        <f t="shared" si="102"/>
        <v>blank</v>
      </c>
      <c r="AQ824" s="548" t="str">
        <f t="shared" si="98"/>
        <v/>
      </c>
      <c r="AR824" s="260" t="str">
        <f t="shared" si="99"/>
        <v/>
      </c>
      <c r="AS824" s="260" t="str">
        <f t="shared" si="100"/>
        <v/>
      </c>
    </row>
    <row r="825" spans="41:45" hidden="1">
      <c r="AO825" s="612" t="str">
        <f t="shared" si="101"/>
        <v>blank</v>
      </c>
      <c r="AP825" s="260" t="str">
        <f t="shared" si="102"/>
        <v>blank</v>
      </c>
      <c r="AQ825" s="548" t="str">
        <f t="shared" si="98"/>
        <v/>
      </c>
      <c r="AR825" s="260" t="str">
        <f t="shared" si="99"/>
        <v/>
      </c>
      <c r="AS825" s="260" t="str">
        <f t="shared" si="100"/>
        <v/>
      </c>
    </row>
    <row r="826" spans="41:45" hidden="1">
      <c r="AO826" s="612" t="str">
        <f t="shared" si="101"/>
        <v>blank</v>
      </c>
      <c r="AP826" s="260" t="str">
        <f t="shared" si="102"/>
        <v>blank</v>
      </c>
      <c r="AQ826" s="548" t="str">
        <f t="shared" si="98"/>
        <v/>
      </c>
      <c r="AR826" s="260" t="str">
        <f t="shared" si="99"/>
        <v/>
      </c>
      <c r="AS826" s="260" t="str">
        <f t="shared" si="100"/>
        <v/>
      </c>
    </row>
    <row r="827" spans="41:45" hidden="1">
      <c r="AO827" s="612" t="str">
        <f t="shared" si="101"/>
        <v>blank</v>
      </c>
      <c r="AP827" s="260" t="str">
        <f t="shared" si="102"/>
        <v>blank</v>
      </c>
      <c r="AQ827" s="548" t="str">
        <f t="shared" si="98"/>
        <v/>
      </c>
      <c r="AR827" s="260" t="str">
        <f t="shared" si="99"/>
        <v/>
      </c>
      <c r="AS827" s="260" t="str">
        <f t="shared" si="100"/>
        <v/>
      </c>
    </row>
    <row r="828" spans="41:45" hidden="1">
      <c r="AO828" s="612" t="str">
        <f t="shared" si="101"/>
        <v>blank</v>
      </c>
      <c r="AP828" s="260" t="str">
        <f t="shared" si="102"/>
        <v>blank</v>
      </c>
      <c r="AQ828" s="548" t="str">
        <f t="shared" si="98"/>
        <v/>
      </c>
      <c r="AR828" s="260" t="str">
        <f t="shared" si="99"/>
        <v/>
      </c>
      <c r="AS828" s="260" t="str">
        <f t="shared" si="100"/>
        <v/>
      </c>
    </row>
    <row r="829" spans="41:45" hidden="1">
      <c r="AO829" s="612" t="str">
        <f t="shared" si="101"/>
        <v>blank</v>
      </c>
      <c r="AP829" s="260" t="str">
        <f t="shared" si="102"/>
        <v>blank</v>
      </c>
      <c r="AQ829" s="548" t="str">
        <f t="shared" si="98"/>
        <v/>
      </c>
      <c r="AR829" s="260" t="str">
        <f t="shared" si="99"/>
        <v/>
      </c>
      <c r="AS829" s="260" t="str">
        <f t="shared" si="100"/>
        <v/>
      </c>
    </row>
    <row r="830" spans="41:45" hidden="1">
      <c r="AO830" s="612" t="str">
        <f t="shared" si="101"/>
        <v>blank</v>
      </c>
      <c r="AP830" s="260" t="str">
        <f t="shared" si="102"/>
        <v>blank</v>
      </c>
      <c r="AQ830" s="548" t="str">
        <f t="shared" si="98"/>
        <v/>
      </c>
      <c r="AR830" s="260" t="str">
        <f t="shared" si="99"/>
        <v/>
      </c>
      <c r="AS830" s="260" t="str">
        <f t="shared" si="100"/>
        <v/>
      </c>
    </row>
    <row r="831" spans="41:45" hidden="1">
      <c r="AO831" s="612" t="str">
        <f t="shared" si="101"/>
        <v>blank</v>
      </c>
      <c r="AP831" s="260" t="str">
        <f t="shared" si="102"/>
        <v>blank</v>
      </c>
      <c r="AQ831" s="548" t="str">
        <f t="shared" si="98"/>
        <v/>
      </c>
      <c r="AR831" s="260" t="str">
        <f t="shared" si="99"/>
        <v/>
      </c>
      <c r="AS831" s="260" t="str">
        <f t="shared" si="100"/>
        <v/>
      </c>
    </row>
    <row r="832" spans="41:45" hidden="1">
      <c r="AO832" s="612" t="str">
        <f t="shared" si="101"/>
        <v>blank</v>
      </c>
      <c r="AP832" s="260" t="str">
        <f t="shared" si="102"/>
        <v>blank</v>
      </c>
      <c r="AQ832" s="548" t="str">
        <f t="shared" si="98"/>
        <v/>
      </c>
      <c r="AR832" s="260" t="str">
        <f t="shared" si="99"/>
        <v/>
      </c>
      <c r="AS832" s="260" t="str">
        <f t="shared" si="100"/>
        <v/>
      </c>
    </row>
    <row r="833" spans="41:45" hidden="1">
      <c r="AO833" s="612" t="str">
        <f t="shared" si="101"/>
        <v>blank</v>
      </c>
      <c r="AP833" s="260" t="str">
        <f t="shared" si="102"/>
        <v>blank</v>
      </c>
      <c r="AQ833" s="548" t="str">
        <f t="shared" si="98"/>
        <v/>
      </c>
      <c r="AR833" s="260" t="str">
        <f t="shared" si="99"/>
        <v/>
      </c>
      <c r="AS833" s="260" t="str">
        <f t="shared" si="100"/>
        <v/>
      </c>
    </row>
    <row r="834" spans="41:45" hidden="1">
      <c r="AO834" s="612" t="str">
        <f t="shared" si="101"/>
        <v>blank</v>
      </c>
      <c r="AP834" s="260" t="str">
        <f t="shared" si="102"/>
        <v>blank</v>
      </c>
      <c r="AQ834" s="548" t="str">
        <f t="shared" si="98"/>
        <v/>
      </c>
      <c r="AR834" s="260" t="str">
        <f t="shared" si="99"/>
        <v/>
      </c>
      <c r="AS834" s="260" t="str">
        <f t="shared" si="100"/>
        <v/>
      </c>
    </row>
    <row r="835" spans="41:45" hidden="1">
      <c r="AO835" s="612" t="str">
        <f t="shared" si="101"/>
        <v>blank</v>
      </c>
      <c r="AP835" s="260" t="str">
        <f t="shared" si="102"/>
        <v>blank</v>
      </c>
      <c r="AQ835" s="548" t="str">
        <f t="shared" ref="AQ835:AQ898" si="103">IFERROR(IF(AND(AO835="Yes", AP835&lt;&gt;"blank"), "有定金+客戶送貨期", IF(AND(AO835="Yes", AP835="blank"), "有定金+无客戶送貨期", IF(AND(OR(AO835="No", ISBLANK(AO835), AO835="NA"), AP835&lt;&gt;"blank"), "无定金+有客戶送貨期", IF(AND(OR(AO835="No", ISBLANK(AO835), AO835="NA"), AP835="blank"), "无定金+无客戶送貨期", "")))), "")</f>
        <v/>
      </c>
      <c r="AR835" s="260" t="str">
        <f t="shared" ref="AR835:AR898" si="104">IFERROR(IF(B835="已经到货", "Instock", IF(B835="有交期", "Incoming_Stock_With_YAMAHA_Schedule", IF(B835="TBA.", "Incoming_Stock_No_YAMAHA_Schedule", IF(B835="已发货", "Shipped_Stock", "")))), "")</f>
        <v/>
      </c>
      <c r="AS835" s="260" t="str">
        <f t="shared" ref="AS835:AS898" si="105">IF(AND(B835="有交期", L835&lt;&gt;""), L835, "")</f>
        <v/>
      </c>
    </row>
    <row r="836" spans="41:45" hidden="1">
      <c r="AO836" s="612" t="str">
        <f t="shared" si="101"/>
        <v>blank</v>
      </c>
      <c r="AP836" s="260" t="str">
        <f t="shared" si="102"/>
        <v>blank</v>
      </c>
      <c r="AQ836" s="548" t="str">
        <f t="shared" si="103"/>
        <v/>
      </c>
      <c r="AR836" s="260" t="str">
        <f t="shared" si="104"/>
        <v/>
      </c>
      <c r="AS836" s="260" t="str">
        <f t="shared" si="105"/>
        <v/>
      </c>
    </row>
    <row r="837" spans="41:45" hidden="1">
      <c r="AO837" s="612" t="str">
        <f t="shared" si="101"/>
        <v>blank</v>
      </c>
      <c r="AP837" s="260" t="str">
        <f t="shared" si="102"/>
        <v>blank</v>
      </c>
      <c r="AQ837" s="548" t="str">
        <f t="shared" si="103"/>
        <v/>
      </c>
      <c r="AR837" s="260" t="str">
        <f t="shared" si="104"/>
        <v/>
      </c>
      <c r="AS837" s="260" t="str">
        <f t="shared" si="105"/>
        <v/>
      </c>
    </row>
    <row r="838" spans="41:45" hidden="1">
      <c r="AO838" s="612" t="str">
        <f t="shared" si="101"/>
        <v>blank</v>
      </c>
      <c r="AP838" s="260" t="str">
        <f t="shared" si="102"/>
        <v>blank</v>
      </c>
      <c r="AQ838" s="548" t="str">
        <f t="shared" si="103"/>
        <v/>
      </c>
      <c r="AR838" s="260" t="str">
        <f t="shared" si="104"/>
        <v/>
      </c>
      <c r="AS838" s="260" t="str">
        <f t="shared" si="105"/>
        <v/>
      </c>
    </row>
    <row r="839" spans="41:45" hidden="1">
      <c r="AO839" s="612" t="str">
        <f t="shared" si="101"/>
        <v>blank</v>
      </c>
      <c r="AP839" s="260" t="str">
        <f t="shared" si="102"/>
        <v>blank</v>
      </c>
      <c r="AQ839" s="548" t="str">
        <f t="shared" si="103"/>
        <v/>
      </c>
      <c r="AR839" s="260" t="str">
        <f t="shared" si="104"/>
        <v/>
      </c>
      <c r="AS839" s="260" t="str">
        <f t="shared" si="105"/>
        <v/>
      </c>
    </row>
    <row r="840" spans="41:45" hidden="1">
      <c r="AO840" s="612" t="str">
        <f t="shared" si="101"/>
        <v>blank</v>
      </c>
      <c r="AP840" s="260" t="str">
        <f t="shared" si="102"/>
        <v>blank</v>
      </c>
      <c r="AQ840" s="548" t="str">
        <f t="shared" si="103"/>
        <v/>
      </c>
      <c r="AR840" s="260" t="str">
        <f t="shared" si="104"/>
        <v/>
      </c>
      <c r="AS840" s="260" t="str">
        <f t="shared" si="105"/>
        <v/>
      </c>
    </row>
    <row r="841" spans="41:45" hidden="1">
      <c r="AO841" s="612" t="str">
        <f t="shared" si="101"/>
        <v>blank</v>
      </c>
      <c r="AP841" s="260" t="str">
        <f t="shared" si="102"/>
        <v>blank</v>
      </c>
      <c r="AQ841" s="548" t="str">
        <f t="shared" si="103"/>
        <v/>
      </c>
      <c r="AR841" s="260" t="str">
        <f t="shared" si="104"/>
        <v/>
      </c>
      <c r="AS841" s="260" t="str">
        <f t="shared" si="105"/>
        <v/>
      </c>
    </row>
    <row r="842" spans="41:45" hidden="1">
      <c r="AO842" s="612" t="str">
        <f t="shared" si="101"/>
        <v>blank</v>
      </c>
      <c r="AP842" s="260" t="str">
        <f t="shared" si="102"/>
        <v>blank</v>
      </c>
      <c r="AQ842" s="548" t="str">
        <f t="shared" si="103"/>
        <v/>
      </c>
      <c r="AR842" s="260" t="str">
        <f t="shared" si="104"/>
        <v/>
      </c>
      <c r="AS842" s="260" t="str">
        <f t="shared" si="105"/>
        <v/>
      </c>
    </row>
    <row r="843" spans="41:45" hidden="1">
      <c r="AO843" s="612" t="str">
        <f t="shared" si="101"/>
        <v>blank</v>
      </c>
      <c r="AP843" s="260" t="str">
        <f t="shared" si="102"/>
        <v>blank</v>
      </c>
      <c r="AQ843" s="548" t="str">
        <f t="shared" si="103"/>
        <v/>
      </c>
      <c r="AR843" s="260" t="str">
        <f t="shared" si="104"/>
        <v/>
      </c>
      <c r="AS843" s="260" t="str">
        <f t="shared" si="105"/>
        <v/>
      </c>
    </row>
    <row r="844" spans="41:45" hidden="1">
      <c r="AO844" s="612" t="str">
        <f t="shared" si="101"/>
        <v>blank</v>
      </c>
      <c r="AP844" s="260" t="str">
        <f t="shared" si="102"/>
        <v>blank</v>
      </c>
      <c r="AQ844" s="548" t="str">
        <f t="shared" si="103"/>
        <v/>
      </c>
      <c r="AR844" s="260" t="str">
        <f t="shared" si="104"/>
        <v/>
      </c>
      <c r="AS844" s="260" t="str">
        <f t="shared" si="105"/>
        <v/>
      </c>
    </row>
    <row r="845" spans="41:45" hidden="1">
      <c r="AO845" s="612" t="str">
        <f t="shared" si="101"/>
        <v>blank</v>
      </c>
      <c r="AP845" s="260" t="str">
        <f t="shared" si="102"/>
        <v>blank</v>
      </c>
      <c r="AQ845" s="548" t="str">
        <f t="shared" si="103"/>
        <v/>
      </c>
      <c r="AR845" s="260" t="str">
        <f t="shared" si="104"/>
        <v/>
      </c>
      <c r="AS845" s="260" t="str">
        <f t="shared" si="105"/>
        <v/>
      </c>
    </row>
    <row r="846" spans="41:45" hidden="1">
      <c r="AO846" s="612" t="str">
        <f t="shared" si="101"/>
        <v>blank</v>
      </c>
      <c r="AP846" s="260" t="str">
        <f t="shared" si="102"/>
        <v>blank</v>
      </c>
      <c r="AQ846" s="548" t="str">
        <f t="shared" si="103"/>
        <v/>
      </c>
      <c r="AR846" s="260" t="str">
        <f t="shared" si="104"/>
        <v/>
      </c>
      <c r="AS846" s="260" t="str">
        <f t="shared" si="105"/>
        <v/>
      </c>
    </row>
    <row r="847" spans="41:45" hidden="1">
      <c r="AO847" s="612" t="str">
        <f t="shared" si="101"/>
        <v>blank</v>
      </c>
      <c r="AP847" s="260" t="str">
        <f t="shared" si="102"/>
        <v>blank</v>
      </c>
      <c r="AQ847" s="548" t="str">
        <f t="shared" si="103"/>
        <v/>
      </c>
      <c r="AR847" s="260" t="str">
        <f t="shared" si="104"/>
        <v/>
      </c>
      <c r="AS847" s="260" t="str">
        <f t="shared" si="105"/>
        <v/>
      </c>
    </row>
    <row r="848" spans="41:45" hidden="1">
      <c r="AO848" s="612" t="str">
        <f t="shared" si="101"/>
        <v>blank</v>
      </c>
      <c r="AP848" s="260" t="str">
        <f t="shared" si="102"/>
        <v>blank</v>
      </c>
      <c r="AQ848" s="548" t="str">
        <f t="shared" si="103"/>
        <v/>
      </c>
      <c r="AR848" s="260" t="str">
        <f t="shared" si="104"/>
        <v/>
      </c>
      <c r="AS848" s="260" t="str">
        <f t="shared" si="105"/>
        <v/>
      </c>
    </row>
    <row r="849" spans="41:45" hidden="1">
      <c r="AO849" s="612" t="str">
        <f t="shared" si="101"/>
        <v>blank</v>
      </c>
      <c r="AP849" s="260" t="str">
        <f t="shared" si="102"/>
        <v>blank</v>
      </c>
      <c r="AQ849" s="548" t="str">
        <f t="shared" si="103"/>
        <v/>
      </c>
      <c r="AR849" s="260" t="str">
        <f t="shared" si="104"/>
        <v/>
      </c>
      <c r="AS849" s="260" t="str">
        <f t="shared" si="105"/>
        <v/>
      </c>
    </row>
    <row r="850" spans="41:45" hidden="1">
      <c r="AO850" s="612" t="str">
        <f t="shared" si="101"/>
        <v>blank</v>
      </c>
      <c r="AP850" s="260" t="str">
        <f t="shared" si="102"/>
        <v>blank</v>
      </c>
      <c r="AQ850" s="548" t="str">
        <f t="shared" si="103"/>
        <v/>
      </c>
      <c r="AR850" s="260" t="str">
        <f t="shared" si="104"/>
        <v/>
      </c>
      <c r="AS850" s="260" t="str">
        <f t="shared" si="105"/>
        <v/>
      </c>
    </row>
    <row r="851" spans="41:45" hidden="1">
      <c r="AO851" s="612" t="str">
        <f t="shared" si="101"/>
        <v>blank</v>
      </c>
      <c r="AP851" s="260" t="str">
        <f t="shared" si="102"/>
        <v>blank</v>
      </c>
      <c r="AQ851" s="548" t="str">
        <f t="shared" si="103"/>
        <v/>
      </c>
      <c r="AR851" s="260" t="str">
        <f t="shared" si="104"/>
        <v/>
      </c>
      <c r="AS851" s="260" t="str">
        <f t="shared" si="105"/>
        <v/>
      </c>
    </row>
    <row r="852" spans="41:45" hidden="1">
      <c r="AO852" s="612" t="str">
        <f t="shared" si="101"/>
        <v>blank</v>
      </c>
      <c r="AP852" s="260" t="str">
        <f t="shared" si="102"/>
        <v>blank</v>
      </c>
      <c r="AQ852" s="548" t="str">
        <f t="shared" si="103"/>
        <v/>
      </c>
      <c r="AR852" s="260" t="str">
        <f t="shared" si="104"/>
        <v/>
      </c>
      <c r="AS852" s="260" t="str">
        <f t="shared" si="105"/>
        <v/>
      </c>
    </row>
    <row r="853" spans="41:45" hidden="1">
      <c r="AO853" s="612" t="str">
        <f t="shared" si="101"/>
        <v>blank</v>
      </c>
      <c r="AP853" s="260" t="str">
        <f t="shared" si="102"/>
        <v>blank</v>
      </c>
      <c r="AQ853" s="548" t="str">
        <f t="shared" si="103"/>
        <v/>
      </c>
      <c r="AR853" s="260" t="str">
        <f t="shared" si="104"/>
        <v/>
      </c>
      <c r="AS853" s="260" t="str">
        <f t="shared" si="105"/>
        <v/>
      </c>
    </row>
    <row r="854" spans="41:45" hidden="1">
      <c r="AO854" s="612" t="str">
        <f t="shared" ref="AO854:AO917" si="106">IFERROR(IF(Y854&lt;&gt;"",Y854,"blank"),"NA")</f>
        <v>blank</v>
      </c>
      <c r="AP854" s="260" t="str">
        <f t="shared" ref="AP854:AP917" si="107">IFERROR(IF(N854&lt;&gt;"",N854,"blank"),"NA")</f>
        <v>blank</v>
      </c>
      <c r="AQ854" s="548" t="str">
        <f t="shared" si="103"/>
        <v/>
      </c>
      <c r="AR854" s="260" t="str">
        <f t="shared" si="104"/>
        <v/>
      </c>
      <c r="AS854" s="260" t="str">
        <f t="shared" si="105"/>
        <v/>
      </c>
    </row>
    <row r="855" spans="41:45" hidden="1">
      <c r="AO855" s="612" t="str">
        <f t="shared" si="106"/>
        <v>blank</v>
      </c>
      <c r="AP855" s="260" t="str">
        <f t="shared" si="107"/>
        <v>blank</v>
      </c>
      <c r="AQ855" s="548" t="str">
        <f t="shared" si="103"/>
        <v/>
      </c>
      <c r="AR855" s="260" t="str">
        <f t="shared" si="104"/>
        <v/>
      </c>
      <c r="AS855" s="260" t="str">
        <f t="shared" si="105"/>
        <v/>
      </c>
    </row>
    <row r="856" spans="41:45" hidden="1">
      <c r="AO856" s="612" t="str">
        <f t="shared" si="106"/>
        <v>blank</v>
      </c>
      <c r="AP856" s="260" t="str">
        <f t="shared" si="107"/>
        <v>blank</v>
      </c>
      <c r="AQ856" s="548" t="str">
        <f t="shared" si="103"/>
        <v/>
      </c>
      <c r="AR856" s="260" t="str">
        <f t="shared" si="104"/>
        <v/>
      </c>
      <c r="AS856" s="260" t="str">
        <f t="shared" si="105"/>
        <v/>
      </c>
    </row>
    <row r="857" spans="41:45" hidden="1">
      <c r="AO857" s="612" t="str">
        <f t="shared" si="106"/>
        <v>blank</v>
      </c>
      <c r="AP857" s="260" t="str">
        <f t="shared" si="107"/>
        <v>blank</v>
      </c>
      <c r="AQ857" s="548" t="str">
        <f t="shared" si="103"/>
        <v/>
      </c>
      <c r="AR857" s="260" t="str">
        <f t="shared" si="104"/>
        <v/>
      </c>
      <c r="AS857" s="260" t="str">
        <f t="shared" si="105"/>
        <v/>
      </c>
    </row>
    <row r="858" spans="41:45" hidden="1">
      <c r="AO858" s="612" t="str">
        <f t="shared" si="106"/>
        <v>blank</v>
      </c>
      <c r="AP858" s="260" t="str">
        <f t="shared" si="107"/>
        <v>blank</v>
      </c>
      <c r="AQ858" s="548" t="str">
        <f t="shared" si="103"/>
        <v/>
      </c>
      <c r="AR858" s="260" t="str">
        <f t="shared" si="104"/>
        <v/>
      </c>
      <c r="AS858" s="260" t="str">
        <f t="shared" si="105"/>
        <v/>
      </c>
    </row>
    <row r="859" spans="41:45" hidden="1">
      <c r="AO859" s="612" t="str">
        <f t="shared" si="106"/>
        <v>blank</v>
      </c>
      <c r="AP859" s="260" t="str">
        <f t="shared" si="107"/>
        <v>blank</v>
      </c>
      <c r="AQ859" s="548" t="str">
        <f t="shared" si="103"/>
        <v/>
      </c>
      <c r="AR859" s="260" t="str">
        <f t="shared" si="104"/>
        <v/>
      </c>
      <c r="AS859" s="260" t="str">
        <f t="shared" si="105"/>
        <v/>
      </c>
    </row>
    <row r="860" spans="41:45" hidden="1">
      <c r="AO860" s="612" t="str">
        <f t="shared" si="106"/>
        <v>blank</v>
      </c>
      <c r="AP860" s="260" t="str">
        <f t="shared" si="107"/>
        <v>blank</v>
      </c>
      <c r="AQ860" s="548" t="str">
        <f t="shared" si="103"/>
        <v/>
      </c>
      <c r="AR860" s="260" t="str">
        <f t="shared" si="104"/>
        <v/>
      </c>
      <c r="AS860" s="260" t="str">
        <f t="shared" si="105"/>
        <v/>
      </c>
    </row>
    <row r="861" spans="41:45" hidden="1">
      <c r="AO861" s="612" t="str">
        <f t="shared" si="106"/>
        <v>blank</v>
      </c>
      <c r="AP861" s="260" t="str">
        <f t="shared" si="107"/>
        <v>blank</v>
      </c>
      <c r="AQ861" s="548" t="str">
        <f t="shared" si="103"/>
        <v/>
      </c>
      <c r="AR861" s="260" t="str">
        <f t="shared" si="104"/>
        <v/>
      </c>
      <c r="AS861" s="260" t="str">
        <f t="shared" si="105"/>
        <v/>
      </c>
    </row>
    <row r="862" spans="41:45" hidden="1">
      <c r="AO862" s="612" t="str">
        <f t="shared" si="106"/>
        <v>blank</v>
      </c>
      <c r="AP862" s="260" t="str">
        <f t="shared" si="107"/>
        <v>blank</v>
      </c>
      <c r="AQ862" s="548" t="str">
        <f t="shared" si="103"/>
        <v/>
      </c>
      <c r="AR862" s="260" t="str">
        <f t="shared" si="104"/>
        <v/>
      </c>
      <c r="AS862" s="260" t="str">
        <f t="shared" si="105"/>
        <v/>
      </c>
    </row>
    <row r="863" spans="41:45" hidden="1">
      <c r="AO863" s="612" t="str">
        <f t="shared" si="106"/>
        <v>blank</v>
      </c>
      <c r="AP863" s="260" t="str">
        <f t="shared" si="107"/>
        <v>blank</v>
      </c>
      <c r="AQ863" s="548" t="str">
        <f t="shared" si="103"/>
        <v/>
      </c>
      <c r="AR863" s="260" t="str">
        <f t="shared" si="104"/>
        <v/>
      </c>
      <c r="AS863" s="260" t="str">
        <f t="shared" si="105"/>
        <v/>
      </c>
    </row>
    <row r="864" spans="41:45" hidden="1">
      <c r="AO864" s="612" t="str">
        <f t="shared" si="106"/>
        <v>blank</v>
      </c>
      <c r="AP864" s="260" t="str">
        <f t="shared" si="107"/>
        <v>blank</v>
      </c>
      <c r="AQ864" s="548" t="str">
        <f t="shared" si="103"/>
        <v/>
      </c>
      <c r="AR864" s="260" t="str">
        <f t="shared" si="104"/>
        <v/>
      </c>
      <c r="AS864" s="260" t="str">
        <f t="shared" si="105"/>
        <v/>
      </c>
    </row>
    <row r="865" spans="41:45" hidden="1">
      <c r="AO865" s="612" t="str">
        <f t="shared" si="106"/>
        <v>blank</v>
      </c>
      <c r="AP865" s="260" t="str">
        <f t="shared" si="107"/>
        <v>blank</v>
      </c>
      <c r="AQ865" s="548" t="str">
        <f t="shared" si="103"/>
        <v/>
      </c>
      <c r="AR865" s="260" t="str">
        <f t="shared" si="104"/>
        <v/>
      </c>
      <c r="AS865" s="260" t="str">
        <f t="shared" si="105"/>
        <v/>
      </c>
    </row>
    <row r="866" spans="41:45" hidden="1">
      <c r="AO866" s="612" t="str">
        <f t="shared" si="106"/>
        <v>blank</v>
      </c>
      <c r="AP866" s="260" t="str">
        <f t="shared" si="107"/>
        <v>blank</v>
      </c>
      <c r="AQ866" s="548" t="str">
        <f t="shared" si="103"/>
        <v/>
      </c>
      <c r="AR866" s="260" t="str">
        <f t="shared" si="104"/>
        <v/>
      </c>
      <c r="AS866" s="260" t="str">
        <f t="shared" si="105"/>
        <v/>
      </c>
    </row>
    <row r="867" spans="41:45" hidden="1">
      <c r="AO867" s="612" t="str">
        <f t="shared" si="106"/>
        <v>blank</v>
      </c>
      <c r="AP867" s="260" t="str">
        <f t="shared" si="107"/>
        <v>blank</v>
      </c>
      <c r="AQ867" s="548" t="str">
        <f t="shared" si="103"/>
        <v/>
      </c>
      <c r="AR867" s="260" t="str">
        <f t="shared" si="104"/>
        <v/>
      </c>
      <c r="AS867" s="260" t="str">
        <f t="shared" si="105"/>
        <v/>
      </c>
    </row>
    <row r="868" spans="41:45" hidden="1">
      <c r="AO868" s="612" t="str">
        <f t="shared" si="106"/>
        <v>blank</v>
      </c>
      <c r="AP868" s="260" t="str">
        <f t="shared" si="107"/>
        <v>blank</v>
      </c>
      <c r="AQ868" s="548" t="str">
        <f t="shared" si="103"/>
        <v/>
      </c>
      <c r="AR868" s="260" t="str">
        <f t="shared" si="104"/>
        <v/>
      </c>
      <c r="AS868" s="260" t="str">
        <f t="shared" si="105"/>
        <v/>
      </c>
    </row>
    <row r="869" spans="41:45" hidden="1">
      <c r="AO869" s="612" t="str">
        <f t="shared" si="106"/>
        <v>blank</v>
      </c>
      <c r="AP869" s="260" t="str">
        <f t="shared" si="107"/>
        <v>blank</v>
      </c>
      <c r="AQ869" s="548" t="str">
        <f t="shared" si="103"/>
        <v/>
      </c>
      <c r="AR869" s="260" t="str">
        <f t="shared" si="104"/>
        <v/>
      </c>
      <c r="AS869" s="260" t="str">
        <f t="shared" si="105"/>
        <v/>
      </c>
    </row>
    <row r="870" spans="41:45" hidden="1">
      <c r="AO870" s="612" t="str">
        <f t="shared" si="106"/>
        <v>blank</v>
      </c>
      <c r="AP870" s="260" t="str">
        <f t="shared" si="107"/>
        <v>blank</v>
      </c>
      <c r="AQ870" s="548" t="str">
        <f t="shared" si="103"/>
        <v/>
      </c>
      <c r="AR870" s="260" t="str">
        <f t="shared" si="104"/>
        <v/>
      </c>
      <c r="AS870" s="260" t="str">
        <f t="shared" si="105"/>
        <v/>
      </c>
    </row>
    <row r="871" spans="41:45" hidden="1">
      <c r="AO871" s="612" t="str">
        <f t="shared" si="106"/>
        <v>blank</v>
      </c>
      <c r="AP871" s="260" t="str">
        <f t="shared" si="107"/>
        <v>blank</v>
      </c>
      <c r="AQ871" s="548" t="str">
        <f t="shared" si="103"/>
        <v/>
      </c>
      <c r="AR871" s="260" t="str">
        <f t="shared" si="104"/>
        <v/>
      </c>
      <c r="AS871" s="260" t="str">
        <f t="shared" si="105"/>
        <v/>
      </c>
    </row>
    <row r="872" spans="41:45" hidden="1">
      <c r="AO872" s="612" t="str">
        <f t="shared" si="106"/>
        <v>blank</v>
      </c>
      <c r="AP872" s="260" t="str">
        <f t="shared" si="107"/>
        <v>blank</v>
      </c>
      <c r="AQ872" s="548" t="str">
        <f t="shared" si="103"/>
        <v/>
      </c>
      <c r="AR872" s="260" t="str">
        <f t="shared" si="104"/>
        <v/>
      </c>
      <c r="AS872" s="260" t="str">
        <f t="shared" si="105"/>
        <v/>
      </c>
    </row>
    <row r="873" spans="41:45" hidden="1">
      <c r="AO873" s="612" t="str">
        <f t="shared" si="106"/>
        <v>blank</v>
      </c>
      <c r="AP873" s="260" t="str">
        <f t="shared" si="107"/>
        <v>blank</v>
      </c>
      <c r="AQ873" s="548" t="str">
        <f t="shared" si="103"/>
        <v/>
      </c>
      <c r="AR873" s="260" t="str">
        <f t="shared" si="104"/>
        <v/>
      </c>
      <c r="AS873" s="260" t="str">
        <f t="shared" si="105"/>
        <v/>
      </c>
    </row>
    <row r="874" spans="41:45" hidden="1">
      <c r="AO874" s="612" t="str">
        <f t="shared" si="106"/>
        <v>blank</v>
      </c>
      <c r="AP874" s="260" t="str">
        <f t="shared" si="107"/>
        <v>blank</v>
      </c>
      <c r="AQ874" s="548" t="str">
        <f t="shared" si="103"/>
        <v/>
      </c>
      <c r="AR874" s="260" t="str">
        <f t="shared" si="104"/>
        <v/>
      </c>
      <c r="AS874" s="260" t="str">
        <f t="shared" si="105"/>
        <v/>
      </c>
    </row>
    <row r="875" spans="41:45" hidden="1">
      <c r="AO875" s="612" t="str">
        <f t="shared" si="106"/>
        <v>blank</v>
      </c>
      <c r="AP875" s="260" t="str">
        <f t="shared" si="107"/>
        <v>blank</v>
      </c>
      <c r="AQ875" s="548" t="str">
        <f t="shared" si="103"/>
        <v/>
      </c>
      <c r="AR875" s="260" t="str">
        <f t="shared" si="104"/>
        <v/>
      </c>
      <c r="AS875" s="260" t="str">
        <f t="shared" si="105"/>
        <v/>
      </c>
    </row>
    <row r="876" spans="41:45" hidden="1">
      <c r="AO876" s="612" t="str">
        <f t="shared" si="106"/>
        <v>blank</v>
      </c>
      <c r="AP876" s="260" t="str">
        <f t="shared" si="107"/>
        <v>blank</v>
      </c>
      <c r="AQ876" s="548" t="str">
        <f t="shared" si="103"/>
        <v/>
      </c>
      <c r="AR876" s="260" t="str">
        <f t="shared" si="104"/>
        <v/>
      </c>
      <c r="AS876" s="260" t="str">
        <f t="shared" si="105"/>
        <v/>
      </c>
    </row>
    <row r="877" spans="41:45" hidden="1">
      <c r="AO877" s="612" t="str">
        <f t="shared" si="106"/>
        <v>blank</v>
      </c>
      <c r="AP877" s="260" t="str">
        <f t="shared" si="107"/>
        <v>blank</v>
      </c>
      <c r="AQ877" s="548" t="str">
        <f t="shared" si="103"/>
        <v/>
      </c>
      <c r="AR877" s="260" t="str">
        <f t="shared" si="104"/>
        <v/>
      </c>
      <c r="AS877" s="260" t="str">
        <f t="shared" si="105"/>
        <v/>
      </c>
    </row>
    <row r="878" spans="41:45" hidden="1">
      <c r="AO878" s="612" t="str">
        <f t="shared" si="106"/>
        <v>blank</v>
      </c>
      <c r="AP878" s="260" t="str">
        <f t="shared" si="107"/>
        <v>blank</v>
      </c>
      <c r="AQ878" s="548" t="str">
        <f t="shared" si="103"/>
        <v/>
      </c>
      <c r="AR878" s="260" t="str">
        <f t="shared" si="104"/>
        <v/>
      </c>
      <c r="AS878" s="260" t="str">
        <f t="shared" si="105"/>
        <v/>
      </c>
    </row>
    <row r="879" spans="41:45" hidden="1">
      <c r="AO879" s="612" t="str">
        <f t="shared" si="106"/>
        <v>blank</v>
      </c>
      <c r="AP879" s="260" t="str">
        <f t="shared" si="107"/>
        <v>blank</v>
      </c>
      <c r="AQ879" s="548" t="str">
        <f t="shared" si="103"/>
        <v/>
      </c>
      <c r="AR879" s="260" t="str">
        <f t="shared" si="104"/>
        <v/>
      </c>
      <c r="AS879" s="260" t="str">
        <f t="shared" si="105"/>
        <v/>
      </c>
    </row>
    <row r="880" spans="41:45" hidden="1">
      <c r="AO880" s="612" t="str">
        <f t="shared" si="106"/>
        <v>blank</v>
      </c>
      <c r="AP880" s="260" t="str">
        <f t="shared" si="107"/>
        <v>blank</v>
      </c>
      <c r="AQ880" s="548" t="str">
        <f t="shared" si="103"/>
        <v/>
      </c>
      <c r="AR880" s="260" t="str">
        <f t="shared" si="104"/>
        <v/>
      </c>
      <c r="AS880" s="260" t="str">
        <f t="shared" si="105"/>
        <v/>
      </c>
    </row>
    <row r="881" spans="41:45" hidden="1">
      <c r="AO881" s="612" t="str">
        <f t="shared" si="106"/>
        <v>blank</v>
      </c>
      <c r="AP881" s="260" t="str">
        <f t="shared" si="107"/>
        <v>blank</v>
      </c>
      <c r="AQ881" s="548" t="str">
        <f t="shared" si="103"/>
        <v/>
      </c>
      <c r="AR881" s="260" t="str">
        <f t="shared" si="104"/>
        <v/>
      </c>
      <c r="AS881" s="260" t="str">
        <f t="shared" si="105"/>
        <v/>
      </c>
    </row>
    <row r="882" spans="41:45" hidden="1">
      <c r="AO882" s="612" t="str">
        <f t="shared" si="106"/>
        <v>blank</v>
      </c>
      <c r="AP882" s="260" t="str">
        <f t="shared" si="107"/>
        <v>blank</v>
      </c>
      <c r="AQ882" s="548" t="str">
        <f t="shared" si="103"/>
        <v/>
      </c>
      <c r="AR882" s="260" t="str">
        <f t="shared" si="104"/>
        <v/>
      </c>
      <c r="AS882" s="260" t="str">
        <f t="shared" si="105"/>
        <v/>
      </c>
    </row>
    <row r="883" spans="41:45" hidden="1">
      <c r="AO883" s="612" t="str">
        <f t="shared" si="106"/>
        <v>blank</v>
      </c>
      <c r="AP883" s="260" t="str">
        <f t="shared" si="107"/>
        <v>blank</v>
      </c>
      <c r="AQ883" s="548" t="str">
        <f t="shared" si="103"/>
        <v/>
      </c>
      <c r="AR883" s="260" t="str">
        <f t="shared" si="104"/>
        <v/>
      </c>
      <c r="AS883" s="260" t="str">
        <f t="shared" si="105"/>
        <v/>
      </c>
    </row>
    <row r="884" spans="41:45" hidden="1">
      <c r="AO884" s="612" t="str">
        <f t="shared" si="106"/>
        <v>blank</v>
      </c>
      <c r="AP884" s="260" t="str">
        <f t="shared" si="107"/>
        <v>blank</v>
      </c>
      <c r="AQ884" s="548" t="str">
        <f t="shared" si="103"/>
        <v/>
      </c>
      <c r="AR884" s="260" t="str">
        <f t="shared" si="104"/>
        <v/>
      </c>
      <c r="AS884" s="260" t="str">
        <f t="shared" si="105"/>
        <v/>
      </c>
    </row>
    <row r="885" spans="41:45" hidden="1">
      <c r="AO885" s="612" t="str">
        <f t="shared" si="106"/>
        <v>blank</v>
      </c>
      <c r="AP885" s="260" t="str">
        <f t="shared" si="107"/>
        <v>blank</v>
      </c>
      <c r="AQ885" s="548" t="str">
        <f t="shared" si="103"/>
        <v/>
      </c>
      <c r="AR885" s="260" t="str">
        <f t="shared" si="104"/>
        <v/>
      </c>
      <c r="AS885" s="260" t="str">
        <f t="shared" si="105"/>
        <v/>
      </c>
    </row>
    <row r="886" spans="41:45" hidden="1">
      <c r="AO886" s="612" t="str">
        <f t="shared" si="106"/>
        <v>blank</v>
      </c>
      <c r="AP886" s="260" t="str">
        <f t="shared" si="107"/>
        <v>blank</v>
      </c>
      <c r="AQ886" s="548" t="str">
        <f t="shared" si="103"/>
        <v/>
      </c>
      <c r="AR886" s="260" t="str">
        <f t="shared" si="104"/>
        <v/>
      </c>
      <c r="AS886" s="260" t="str">
        <f t="shared" si="105"/>
        <v/>
      </c>
    </row>
    <row r="887" spans="41:45" hidden="1">
      <c r="AO887" s="612" t="str">
        <f t="shared" si="106"/>
        <v>blank</v>
      </c>
      <c r="AP887" s="260" t="str">
        <f t="shared" si="107"/>
        <v>blank</v>
      </c>
      <c r="AQ887" s="548" t="str">
        <f t="shared" si="103"/>
        <v/>
      </c>
      <c r="AR887" s="260" t="str">
        <f t="shared" si="104"/>
        <v/>
      </c>
      <c r="AS887" s="260" t="str">
        <f t="shared" si="105"/>
        <v/>
      </c>
    </row>
    <row r="888" spans="41:45" hidden="1">
      <c r="AO888" s="612" t="str">
        <f t="shared" si="106"/>
        <v>blank</v>
      </c>
      <c r="AP888" s="260" t="str">
        <f t="shared" si="107"/>
        <v>blank</v>
      </c>
      <c r="AQ888" s="548" t="str">
        <f t="shared" si="103"/>
        <v/>
      </c>
      <c r="AR888" s="260" t="str">
        <f t="shared" si="104"/>
        <v/>
      </c>
      <c r="AS888" s="260" t="str">
        <f t="shared" si="105"/>
        <v/>
      </c>
    </row>
    <row r="889" spans="41:45" hidden="1">
      <c r="AO889" s="612" t="str">
        <f t="shared" si="106"/>
        <v>blank</v>
      </c>
      <c r="AP889" s="260" t="str">
        <f t="shared" si="107"/>
        <v>blank</v>
      </c>
      <c r="AQ889" s="548" t="str">
        <f t="shared" si="103"/>
        <v/>
      </c>
      <c r="AR889" s="260" t="str">
        <f t="shared" si="104"/>
        <v/>
      </c>
      <c r="AS889" s="260" t="str">
        <f t="shared" si="105"/>
        <v/>
      </c>
    </row>
    <row r="890" spans="41:45" hidden="1">
      <c r="AO890" s="612" t="str">
        <f t="shared" si="106"/>
        <v>blank</v>
      </c>
      <c r="AP890" s="260" t="str">
        <f t="shared" si="107"/>
        <v>blank</v>
      </c>
      <c r="AQ890" s="548" t="str">
        <f t="shared" si="103"/>
        <v/>
      </c>
      <c r="AR890" s="260" t="str">
        <f t="shared" si="104"/>
        <v/>
      </c>
      <c r="AS890" s="260" t="str">
        <f t="shared" si="105"/>
        <v/>
      </c>
    </row>
    <row r="891" spans="41:45" hidden="1">
      <c r="AO891" s="612" t="str">
        <f t="shared" si="106"/>
        <v>blank</v>
      </c>
      <c r="AP891" s="260" t="str">
        <f t="shared" si="107"/>
        <v>blank</v>
      </c>
      <c r="AQ891" s="548" t="str">
        <f t="shared" si="103"/>
        <v/>
      </c>
      <c r="AR891" s="260" t="str">
        <f t="shared" si="104"/>
        <v/>
      </c>
      <c r="AS891" s="260" t="str">
        <f t="shared" si="105"/>
        <v/>
      </c>
    </row>
    <row r="892" spans="41:45" hidden="1">
      <c r="AO892" s="612" t="str">
        <f t="shared" si="106"/>
        <v>blank</v>
      </c>
      <c r="AP892" s="260" t="str">
        <f t="shared" si="107"/>
        <v>blank</v>
      </c>
      <c r="AQ892" s="548" t="str">
        <f t="shared" si="103"/>
        <v/>
      </c>
      <c r="AR892" s="260" t="str">
        <f t="shared" si="104"/>
        <v/>
      </c>
      <c r="AS892" s="260" t="str">
        <f t="shared" si="105"/>
        <v/>
      </c>
    </row>
    <row r="893" spans="41:45" hidden="1">
      <c r="AO893" s="612" t="str">
        <f t="shared" si="106"/>
        <v>blank</v>
      </c>
      <c r="AP893" s="260" t="str">
        <f t="shared" si="107"/>
        <v>blank</v>
      </c>
      <c r="AQ893" s="548" t="str">
        <f t="shared" si="103"/>
        <v/>
      </c>
      <c r="AR893" s="260" t="str">
        <f t="shared" si="104"/>
        <v/>
      </c>
      <c r="AS893" s="260" t="str">
        <f t="shared" si="105"/>
        <v/>
      </c>
    </row>
    <row r="894" spans="41:45" hidden="1">
      <c r="AO894" s="612" t="str">
        <f t="shared" si="106"/>
        <v>blank</v>
      </c>
      <c r="AP894" s="260" t="str">
        <f t="shared" si="107"/>
        <v>blank</v>
      </c>
      <c r="AQ894" s="548" t="str">
        <f t="shared" si="103"/>
        <v/>
      </c>
      <c r="AR894" s="260" t="str">
        <f t="shared" si="104"/>
        <v/>
      </c>
      <c r="AS894" s="260" t="str">
        <f t="shared" si="105"/>
        <v/>
      </c>
    </row>
    <row r="895" spans="41:45" hidden="1">
      <c r="AO895" s="612" t="str">
        <f t="shared" si="106"/>
        <v>blank</v>
      </c>
      <c r="AP895" s="260" t="str">
        <f t="shared" si="107"/>
        <v>blank</v>
      </c>
      <c r="AQ895" s="548" t="str">
        <f t="shared" si="103"/>
        <v/>
      </c>
      <c r="AR895" s="260" t="str">
        <f t="shared" si="104"/>
        <v/>
      </c>
      <c r="AS895" s="260" t="str">
        <f t="shared" si="105"/>
        <v/>
      </c>
    </row>
    <row r="896" spans="41:45" hidden="1">
      <c r="AO896" s="612" t="str">
        <f t="shared" si="106"/>
        <v>blank</v>
      </c>
      <c r="AP896" s="260" t="str">
        <f t="shared" si="107"/>
        <v>blank</v>
      </c>
      <c r="AQ896" s="548" t="str">
        <f t="shared" si="103"/>
        <v/>
      </c>
      <c r="AR896" s="260" t="str">
        <f t="shared" si="104"/>
        <v/>
      </c>
      <c r="AS896" s="260" t="str">
        <f t="shared" si="105"/>
        <v/>
      </c>
    </row>
    <row r="897" spans="41:45" hidden="1">
      <c r="AO897" s="612" t="str">
        <f t="shared" si="106"/>
        <v>blank</v>
      </c>
      <c r="AP897" s="260" t="str">
        <f t="shared" si="107"/>
        <v>blank</v>
      </c>
      <c r="AQ897" s="548" t="str">
        <f t="shared" si="103"/>
        <v/>
      </c>
      <c r="AR897" s="260" t="str">
        <f t="shared" si="104"/>
        <v/>
      </c>
      <c r="AS897" s="260" t="str">
        <f t="shared" si="105"/>
        <v/>
      </c>
    </row>
    <row r="898" spans="41:45" hidden="1">
      <c r="AO898" s="612" t="str">
        <f t="shared" si="106"/>
        <v>blank</v>
      </c>
      <c r="AP898" s="260" t="str">
        <f t="shared" si="107"/>
        <v>blank</v>
      </c>
      <c r="AQ898" s="548" t="str">
        <f t="shared" si="103"/>
        <v/>
      </c>
      <c r="AR898" s="260" t="str">
        <f t="shared" si="104"/>
        <v/>
      </c>
      <c r="AS898" s="260" t="str">
        <f t="shared" si="105"/>
        <v/>
      </c>
    </row>
    <row r="899" spans="41:45" hidden="1">
      <c r="AO899" s="612" t="str">
        <f t="shared" si="106"/>
        <v>blank</v>
      </c>
      <c r="AP899" s="260" t="str">
        <f t="shared" si="107"/>
        <v>blank</v>
      </c>
      <c r="AQ899" s="548" t="str">
        <f t="shared" ref="AQ899:AQ962" si="108">IFERROR(IF(AND(AO899="Yes", AP899&lt;&gt;"blank"), "有定金+客戶送貨期", IF(AND(AO899="Yes", AP899="blank"), "有定金+无客戶送貨期", IF(AND(OR(AO899="No", ISBLANK(AO899), AO899="NA"), AP899&lt;&gt;"blank"), "无定金+有客戶送貨期", IF(AND(OR(AO899="No", ISBLANK(AO899), AO899="NA"), AP899="blank"), "无定金+无客戶送貨期", "")))), "")</f>
        <v/>
      </c>
      <c r="AR899" s="260" t="str">
        <f t="shared" ref="AR899:AR962" si="109">IFERROR(IF(B899="已经到货", "Instock", IF(B899="有交期", "Incoming_Stock_With_YAMAHA_Schedule", IF(B899="TBA.", "Incoming_Stock_No_YAMAHA_Schedule", IF(B899="已发货", "Shipped_Stock", "")))), "")</f>
        <v/>
      </c>
      <c r="AS899" s="260" t="str">
        <f t="shared" ref="AS899:AS962" si="110">IF(AND(B899="有交期", L899&lt;&gt;""), L899, "")</f>
        <v/>
      </c>
    </row>
    <row r="900" spans="41:45" hidden="1">
      <c r="AO900" s="612" t="str">
        <f t="shared" si="106"/>
        <v>blank</v>
      </c>
      <c r="AP900" s="260" t="str">
        <f t="shared" si="107"/>
        <v>blank</v>
      </c>
      <c r="AQ900" s="548" t="str">
        <f t="shared" si="108"/>
        <v/>
      </c>
      <c r="AR900" s="260" t="str">
        <f t="shared" si="109"/>
        <v/>
      </c>
      <c r="AS900" s="260" t="str">
        <f t="shared" si="110"/>
        <v/>
      </c>
    </row>
    <row r="901" spans="41:45" hidden="1">
      <c r="AO901" s="612" t="str">
        <f t="shared" si="106"/>
        <v>blank</v>
      </c>
      <c r="AP901" s="260" t="str">
        <f t="shared" si="107"/>
        <v>blank</v>
      </c>
      <c r="AQ901" s="548" t="str">
        <f t="shared" si="108"/>
        <v/>
      </c>
      <c r="AR901" s="260" t="str">
        <f t="shared" si="109"/>
        <v/>
      </c>
      <c r="AS901" s="260" t="str">
        <f t="shared" si="110"/>
        <v/>
      </c>
    </row>
    <row r="902" spans="41:45" hidden="1">
      <c r="AO902" s="612" t="str">
        <f t="shared" si="106"/>
        <v>blank</v>
      </c>
      <c r="AP902" s="260" t="str">
        <f t="shared" si="107"/>
        <v>blank</v>
      </c>
      <c r="AQ902" s="548" t="str">
        <f t="shared" si="108"/>
        <v/>
      </c>
      <c r="AR902" s="260" t="str">
        <f t="shared" si="109"/>
        <v/>
      </c>
      <c r="AS902" s="260" t="str">
        <f t="shared" si="110"/>
        <v/>
      </c>
    </row>
    <row r="903" spans="41:45" hidden="1">
      <c r="AO903" s="612" t="str">
        <f t="shared" si="106"/>
        <v>blank</v>
      </c>
      <c r="AP903" s="260" t="str">
        <f t="shared" si="107"/>
        <v>blank</v>
      </c>
      <c r="AQ903" s="548" t="str">
        <f t="shared" si="108"/>
        <v/>
      </c>
      <c r="AR903" s="260" t="str">
        <f t="shared" si="109"/>
        <v/>
      </c>
      <c r="AS903" s="260" t="str">
        <f t="shared" si="110"/>
        <v/>
      </c>
    </row>
    <row r="904" spans="41:45" hidden="1">
      <c r="AO904" s="612" t="str">
        <f t="shared" si="106"/>
        <v>blank</v>
      </c>
      <c r="AP904" s="260" t="str">
        <f t="shared" si="107"/>
        <v>blank</v>
      </c>
      <c r="AQ904" s="548" t="str">
        <f t="shared" si="108"/>
        <v/>
      </c>
      <c r="AR904" s="260" t="str">
        <f t="shared" si="109"/>
        <v/>
      </c>
      <c r="AS904" s="260" t="str">
        <f t="shared" si="110"/>
        <v/>
      </c>
    </row>
    <row r="905" spans="41:45" hidden="1">
      <c r="AO905" s="612" t="str">
        <f t="shared" si="106"/>
        <v>blank</v>
      </c>
      <c r="AP905" s="260" t="str">
        <f t="shared" si="107"/>
        <v>blank</v>
      </c>
      <c r="AQ905" s="548" t="str">
        <f t="shared" si="108"/>
        <v/>
      </c>
      <c r="AR905" s="260" t="str">
        <f t="shared" si="109"/>
        <v/>
      </c>
      <c r="AS905" s="260" t="str">
        <f t="shared" si="110"/>
        <v/>
      </c>
    </row>
    <row r="906" spans="41:45" hidden="1">
      <c r="AO906" s="612" t="str">
        <f t="shared" si="106"/>
        <v>blank</v>
      </c>
      <c r="AP906" s="260" t="str">
        <f t="shared" si="107"/>
        <v>blank</v>
      </c>
      <c r="AQ906" s="548" t="str">
        <f t="shared" si="108"/>
        <v/>
      </c>
      <c r="AR906" s="260" t="str">
        <f t="shared" si="109"/>
        <v/>
      </c>
      <c r="AS906" s="260" t="str">
        <f t="shared" si="110"/>
        <v/>
      </c>
    </row>
    <row r="907" spans="41:45" hidden="1">
      <c r="AO907" s="612" t="str">
        <f t="shared" si="106"/>
        <v>blank</v>
      </c>
      <c r="AP907" s="260" t="str">
        <f t="shared" si="107"/>
        <v>blank</v>
      </c>
      <c r="AQ907" s="548" t="str">
        <f t="shared" si="108"/>
        <v/>
      </c>
      <c r="AR907" s="260" t="str">
        <f t="shared" si="109"/>
        <v/>
      </c>
      <c r="AS907" s="260" t="str">
        <f t="shared" si="110"/>
        <v/>
      </c>
    </row>
    <row r="908" spans="41:45" hidden="1">
      <c r="AO908" s="612" t="str">
        <f t="shared" si="106"/>
        <v>blank</v>
      </c>
      <c r="AP908" s="260" t="str">
        <f t="shared" si="107"/>
        <v>blank</v>
      </c>
      <c r="AQ908" s="548" t="str">
        <f t="shared" si="108"/>
        <v/>
      </c>
      <c r="AR908" s="260" t="str">
        <f t="shared" si="109"/>
        <v/>
      </c>
      <c r="AS908" s="260" t="str">
        <f t="shared" si="110"/>
        <v/>
      </c>
    </row>
    <row r="909" spans="41:45" hidden="1">
      <c r="AO909" s="612" t="str">
        <f t="shared" si="106"/>
        <v>blank</v>
      </c>
      <c r="AP909" s="260" t="str">
        <f t="shared" si="107"/>
        <v>blank</v>
      </c>
      <c r="AQ909" s="548" t="str">
        <f t="shared" si="108"/>
        <v/>
      </c>
      <c r="AR909" s="260" t="str">
        <f t="shared" si="109"/>
        <v/>
      </c>
      <c r="AS909" s="260" t="str">
        <f t="shared" si="110"/>
        <v/>
      </c>
    </row>
    <row r="910" spans="41:45" hidden="1">
      <c r="AO910" s="612" t="str">
        <f t="shared" si="106"/>
        <v>blank</v>
      </c>
      <c r="AP910" s="260" t="str">
        <f t="shared" si="107"/>
        <v>blank</v>
      </c>
      <c r="AQ910" s="548" t="str">
        <f t="shared" si="108"/>
        <v/>
      </c>
      <c r="AR910" s="260" t="str">
        <f t="shared" si="109"/>
        <v/>
      </c>
      <c r="AS910" s="260" t="str">
        <f t="shared" si="110"/>
        <v/>
      </c>
    </row>
    <row r="911" spans="41:45" hidden="1">
      <c r="AO911" s="612" t="str">
        <f t="shared" si="106"/>
        <v>blank</v>
      </c>
      <c r="AP911" s="260" t="str">
        <f t="shared" si="107"/>
        <v>blank</v>
      </c>
      <c r="AQ911" s="548" t="str">
        <f t="shared" si="108"/>
        <v/>
      </c>
      <c r="AR911" s="260" t="str">
        <f t="shared" si="109"/>
        <v/>
      </c>
      <c r="AS911" s="260" t="str">
        <f t="shared" si="110"/>
        <v/>
      </c>
    </row>
    <row r="912" spans="41:45" hidden="1">
      <c r="AO912" s="612" t="str">
        <f t="shared" si="106"/>
        <v>blank</v>
      </c>
      <c r="AP912" s="260" t="str">
        <f t="shared" si="107"/>
        <v>blank</v>
      </c>
      <c r="AQ912" s="548" t="str">
        <f t="shared" si="108"/>
        <v/>
      </c>
      <c r="AR912" s="260" t="str">
        <f t="shared" si="109"/>
        <v/>
      </c>
      <c r="AS912" s="260" t="str">
        <f t="shared" si="110"/>
        <v/>
      </c>
    </row>
    <row r="913" spans="41:45" hidden="1">
      <c r="AO913" s="612" t="str">
        <f t="shared" si="106"/>
        <v>blank</v>
      </c>
      <c r="AP913" s="260" t="str">
        <f t="shared" si="107"/>
        <v>blank</v>
      </c>
      <c r="AQ913" s="548" t="str">
        <f t="shared" si="108"/>
        <v/>
      </c>
      <c r="AR913" s="260" t="str">
        <f t="shared" si="109"/>
        <v/>
      </c>
      <c r="AS913" s="260" t="str">
        <f t="shared" si="110"/>
        <v/>
      </c>
    </row>
    <row r="914" spans="41:45" hidden="1">
      <c r="AO914" s="612" t="str">
        <f t="shared" si="106"/>
        <v>blank</v>
      </c>
      <c r="AP914" s="260" t="str">
        <f t="shared" si="107"/>
        <v>blank</v>
      </c>
      <c r="AQ914" s="548" t="str">
        <f t="shared" si="108"/>
        <v/>
      </c>
      <c r="AR914" s="260" t="str">
        <f t="shared" si="109"/>
        <v/>
      </c>
      <c r="AS914" s="260" t="str">
        <f t="shared" si="110"/>
        <v/>
      </c>
    </row>
    <row r="915" spans="41:45" hidden="1">
      <c r="AO915" s="612" t="str">
        <f t="shared" si="106"/>
        <v>blank</v>
      </c>
      <c r="AP915" s="260" t="str">
        <f t="shared" si="107"/>
        <v>blank</v>
      </c>
      <c r="AQ915" s="548" t="str">
        <f t="shared" si="108"/>
        <v/>
      </c>
      <c r="AR915" s="260" t="str">
        <f t="shared" si="109"/>
        <v/>
      </c>
      <c r="AS915" s="260" t="str">
        <f t="shared" si="110"/>
        <v/>
      </c>
    </row>
    <row r="916" spans="41:45" hidden="1">
      <c r="AO916" s="612" t="str">
        <f t="shared" si="106"/>
        <v>blank</v>
      </c>
      <c r="AP916" s="260" t="str">
        <f t="shared" si="107"/>
        <v>blank</v>
      </c>
      <c r="AQ916" s="548" t="str">
        <f t="shared" si="108"/>
        <v/>
      </c>
      <c r="AR916" s="260" t="str">
        <f t="shared" si="109"/>
        <v/>
      </c>
      <c r="AS916" s="260" t="str">
        <f t="shared" si="110"/>
        <v/>
      </c>
    </row>
    <row r="917" spans="41:45" hidden="1">
      <c r="AO917" s="612" t="str">
        <f t="shared" si="106"/>
        <v>blank</v>
      </c>
      <c r="AP917" s="260" t="str">
        <f t="shared" si="107"/>
        <v>blank</v>
      </c>
      <c r="AQ917" s="548" t="str">
        <f t="shared" si="108"/>
        <v/>
      </c>
      <c r="AR917" s="260" t="str">
        <f t="shared" si="109"/>
        <v/>
      </c>
      <c r="AS917" s="260" t="str">
        <f t="shared" si="110"/>
        <v/>
      </c>
    </row>
    <row r="918" spans="41:45" hidden="1">
      <c r="AO918" s="612" t="str">
        <f t="shared" ref="AO918:AO981" si="111">IFERROR(IF(Y918&lt;&gt;"",Y918,"blank"),"NA")</f>
        <v>blank</v>
      </c>
      <c r="AP918" s="260" t="str">
        <f t="shared" ref="AP918:AP981" si="112">IFERROR(IF(N918&lt;&gt;"",N918,"blank"),"NA")</f>
        <v>blank</v>
      </c>
      <c r="AQ918" s="548" t="str">
        <f t="shared" si="108"/>
        <v/>
      </c>
      <c r="AR918" s="260" t="str">
        <f t="shared" si="109"/>
        <v/>
      </c>
      <c r="AS918" s="260" t="str">
        <f t="shared" si="110"/>
        <v/>
      </c>
    </row>
    <row r="919" spans="41:45" hidden="1">
      <c r="AO919" s="612" t="str">
        <f t="shared" si="111"/>
        <v>blank</v>
      </c>
      <c r="AP919" s="260" t="str">
        <f t="shared" si="112"/>
        <v>blank</v>
      </c>
      <c r="AQ919" s="548" t="str">
        <f t="shared" si="108"/>
        <v/>
      </c>
      <c r="AR919" s="260" t="str">
        <f t="shared" si="109"/>
        <v/>
      </c>
      <c r="AS919" s="260" t="str">
        <f t="shared" si="110"/>
        <v/>
      </c>
    </row>
    <row r="920" spans="41:45" hidden="1">
      <c r="AO920" s="612" t="str">
        <f t="shared" si="111"/>
        <v>blank</v>
      </c>
      <c r="AP920" s="260" t="str">
        <f t="shared" si="112"/>
        <v>blank</v>
      </c>
      <c r="AQ920" s="548" t="str">
        <f t="shared" si="108"/>
        <v/>
      </c>
      <c r="AR920" s="260" t="str">
        <f t="shared" si="109"/>
        <v/>
      </c>
      <c r="AS920" s="260" t="str">
        <f t="shared" si="110"/>
        <v/>
      </c>
    </row>
    <row r="921" spans="41:45" hidden="1">
      <c r="AO921" s="612" t="str">
        <f t="shared" si="111"/>
        <v>blank</v>
      </c>
      <c r="AP921" s="260" t="str">
        <f t="shared" si="112"/>
        <v>blank</v>
      </c>
      <c r="AQ921" s="548" t="str">
        <f t="shared" si="108"/>
        <v/>
      </c>
      <c r="AR921" s="260" t="str">
        <f t="shared" si="109"/>
        <v/>
      </c>
      <c r="AS921" s="260" t="str">
        <f t="shared" si="110"/>
        <v/>
      </c>
    </row>
    <row r="922" spans="41:45" hidden="1">
      <c r="AO922" s="612" t="str">
        <f t="shared" si="111"/>
        <v>blank</v>
      </c>
      <c r="AP922" s="260" t="str">
        <f t="shared" si="112"/>
        <v>blank</v>
      </c>
      <c r="AQ922" s="548" t="str">
        <f t="shared" si="108"/>
        <v/>
      </c>
      <c r="AR922" s="260" t="str">
        <f t="shared" si="109"/>
        <v/>
      </c>
      <c r="AS922" s="260" t="str">
        <f t="shared" si="110"/>
        <v/>
      </c>
    </row>
    <row r="923" spans="41:45" hidden="1">
      <c r="AO923" s="612" t="str">
        <f t="shared" si="111"/>
        <v>blank</v>
      </c>
      <c r="AP923" s="260" t="str">
        <f t="shared" si="112"/>
        <v>blank</v>
      </c>
      <c r="AQ923" s="548" t="str">
        <f t="shared" si="108"/>
        <v/>
      </c>
      <c r="AR923" s="260" t="str">
        <f t="shared" si="109"/>
        <v/>
      </c>
      <c r="AS923" s="260" t="str">
        <f t="shared" si="110"/>
        <v/>
      </c>
    </row>
    <row r="924" spans="41:45" hidden="1">
      <c r="AO924" s="612" t="str">
        <f t="shared" si="111"/>
        <v>blank</v>
      </c>
      <c r="AP924" s="260" t="str">
        <f t="shared" si="112"/>
        <v>blank</v>
      </c>
      <c r="AQ924" s="548" t="str">
        <f t="shared" si="108"/>
        <v/>
      </c>
      <c r="AR924" s="260" t="str">
        <f t="shared" si="109"/>
        <v/>
      </c>
      <c r="AS924" s="260" t="str">
        <f t="shared" si="110"/>
        <v/>
      </c>
    </row>
    <row r="925" spans="41:45" hidden="1">
      <c r="AO925" s="612" t="str">
        <f t="shared" si="111"/>
        <v>blank</v>
      </c>
      <c r="AP925" s="260" t="str">
        <f t="shared" si="112"/>
        <v>blank</v>
      </c>
      <c r="AQ925" s="548" t="str">
        <f t="shared" si="108"/>
        <v/>
      </c>
      <c r="AR925" s="260" t="str">
        <f t="shared" si="109"/>
        <v/>
      </c>
      <c r="AS925" s="260" t="str">
        <f t="shared" si="110"/>
        <v/>
      </c>
    </row>
    <row r="926" spans="41:45" hidden="1">
      <c r="AO926" s="612" t="str">
        <f t="shared" si="111"/>
        <v>blank</v>
      </c>
      <c r="AP926" s="260" t="str">
        <f t="shared" si="112"/>
        <v>blank</v>
      </c>
      <c r="AQ926" s="548" t="str">
        <f t="shared" si="108"/>
        <v/>
      </c>
      <c r="AR926" s="260" t="str">
        <f t="shared" si="109"/>
        <v/>
      </c>
      <c r="AS926" s="260" t="str">
        <f t="shared" si="110"/>
        <v/>
      </c>
    </row>
    <row r="927" spans="41:45" hidden="1">
      <c r="AO927" s="612" t="str">
        <f t="shared" si="111"/>
        <v>blank</v>
      </c>
      <c r="AP927" s="260" t="str">
        <f t="shared" si="112"/>
        <v>blank</v>
      </c>
      <c r="AQ927" s="548" t="str">
        <f t="shared" si="108"/>
        <v/>
      </c>
      <c r="AR927" s="260" t="str">
        <f t="shared" si="109"/>
        <v/>
      </c>
      <c r="AS927" s="260" t="str">
        <f t="shared" si="110"/>
        <v/>
      </c>
    </row>
    <row r="928" spans="41:45" hidden="1">
      <c r="AO928" s="612" t="str">
        <f t="shared" si="111"/>
        <v>blank</v>
      </c>
      <c r="AP928" s="260" t="str">
        <f t="shared" si="112"/>
        <v>blank</v>
      </c>
      <c r="AQ928" s="548" t="str">
        <f t="shared" si="108"/>
        <v/>
      </c>
      <c r="AR928" s="260" t="str">
        <f t="shared" si="109"/>
        <v/>
      </c>
      <c r="AS928" s="260" t="str">
        <f t="shared" si="110"/>
        <v/>
      </c>
    </row>
    <row r="929" spans="41:45" hidden="1">
      <c r="AO929" s="612" t="str">
        <f t="shared" si="111"/>
        <v>blank</v>
      </c>
      <c r="AP929" s="260" t="str">
        <f t="shared" si="112"/>
        <v>blank</v>
      </c>
      <c r="AQ929" s="548" t="str">
        <f t="shared" si="108"/>
        <v/>
      </c>
      <c r="AR929" s="260" t="str">
        <f t="shared" si="109"/>
        <v/>
      </c>
      <c r="AS929" s="260" t="str">
        <f t="shared" si="110"/>
        <v/>
      </c>
    </row>
    <row r="930" spans="41:45" hidden="1">
      <c r="AO930" s="612" t="str">
        <f t="shared" si="111"/>
        <v>blank</v>
      </c>
      <c r="AP930" s="260" t="str">
        <f t="shared" si="112"/>
        <v>blank</v>
      </c>
      <c r="AQ930" s="548" t="str">
        <f t="shared" si="108"/>
        <v/>
      </c>
      <c r="AR930" s="260" t="str">
        <f t="shared" si="109"/>
        <v/>
      </c>
      <c r="AS930" s="260" t="str">
        <f t="shared" si="110"/>
        <v/>
      </c>
    </row>
    <row r="931" spans="41:45" hidden="1">
      <c r="AO931" s="612" t="str">
        <f t="shared" si="111"/>
        <v>blank</v>
      </c>
      <c r="AP931" s="260" t="str">
        <f t="shared" si="112"/>
        <v>blank</v>
      </c>
      <c r="AQ931" s="548" t="str">
        <f t="shared" si="108"/>
        <v/>
      </c>
      <c r="AR931" s="260" t="str">
        <f t="shared" si="109"/>
        <v/>
      </c>
      <c r="AS931" s="260" t="str">
        <f t="shared" si="110"/>
        <v/>
      </c>
    </row>
    <row r="932" spans="41:45" hidden="1">
      <c r="AO932" s="612" t="str">
        <f t="shared" si="111"/>
        <v>blank</v>
      </c>
      <c r="AP932" s="260" t="str">
        <f t="shared" si="112"/>
        <v>blank</v>
      </c>
      <c r="AQ932" s="548" t="str">
        <f t="shared" si="108"/>
        <v/>
      </c>
      <c r="AR932" s="260" t="str">
        <f t="shared" si="109"/>
        <v/>
      </c>
      <c r="AS932" s="260" t="str">
        <f t="shared" si="110"/>
        <v/>
      </c>
    </row>
    <row r="933" spans="41:45" hidden="1">
      <c r="AO933" s="612" t="str">
        <f t="shared" si="111"/>
        <v>blank</v>
      </c>
      <c r="AP933" s="260" t="str">
        <f t="shared" si="112"/>
        <v>blank</v>
      </c>
      <c r="AQ933" s="548" t="str">
        <f t="shared" si="108"/>
        <v/>
      </c>
      <c r="AR933" s="260" t="str">
        <f t="shared" si="109"/>
        <v/>
      </c>
      <c r="AS933" s="260" t="str">
        <f t="shared" si="110"/>
        <v/>
      </c>
    </row>
    <row r="934" spans="41:45" hidden="1">
      <c r="AO934" s="612" t="str">
        <f t="shared" si="111"/>
        <v>blank</v>
      </c>
      <c r="AP934" s="260" t="str">
        <f t="shared" si="112"/>
        <v>blank</v>
      </c>
      <c r="AQ934" s="548" t="str">
        <f t="shared" si="108"/>
        <v/>
      </c>
      <c r="AR934" s="260" t="str">
        <f t="shared" si="109"/>
        <v/>
      </c>
      <c r="AS934" s="260" t="str">
        <f t="shared" si="110"/>
        <v/>
      </c>
    </row>
    <row r="935" spans="41:45" hidden="1">
      <c r="AO935" s="612" t="str">
        <f t="shared" si="111"/>
        <v>blank</v>
      </c>
      <c r="AP935" s="260" t="str">
        <f t="shared" si="112"/>
        <v>blank</v>
      </c>
      <c r="AQ935" s="548" t="str">
        <f t="shared" si="108"/>
        <v/>
      </c>
      <c r="AR935" s="260" t="str">
        <f t="shared" si="109"/>
        <v/>
      </c>
      <c r="AS935" s="260" t="str">
        <f t="shared" si="110"/>
        <v/>
      </c>
    </row>
    <row r="936" spans="41:45" hidden="1">
      <c r="AO936" s="612" t="str">
        <f t="shared" si="111"/>
        <v>blank</v>
      </c>
      <c r="AP936" s="260" t="str">
        <f t="shared" si="112"/>
        <v>blank</v>
      </c>
      <c r="AQ936" s="548" t="str">
        <f t="shared" si="108"/>
        <v/>
      </c>
      <c r="AR936" s="260" t="str">
        <f t="shared" si="109"/>
        <v/>
      </c>
      <c r="AS936" s="260" t="str">
        <f t="shared" si="110"/>
        <v/>
      </c>
    </row>
    <row r="937" spans="41:45" hidden="1">
      <c r="AO937" s="612" t="str">
        <f t="shared" si="111"/>
        <v>blank</v>
      </c>
      <c r="AP937" s="260" t="str">
        <f t="shared" si="112"/>
        <v>blank</v>
      </c>
      <c r="AQ937" s="548" t="str">
        <f t="shared" si="108"/>
        <v/>
      </c>
      <c r="AR937" s="260" t="str">
        <f t="shared" si="109"/>
        <v/>
      </c>
      <c r="AS937" s="260" t="str">
        <f t="shared" si="110"/>
        <v/>
      </c>
    </row>
    <row r="938" spans="41:45" hidden="1">
      <c r="AO938" s="612" t="str">
        <f t="shared" si="111"/>
        <v>blank</v>
      </c>
      <c r="AP938" s="260" t="str">
        <f t="shared" si="112"/>
        <v>blank</v>
      </c>
      <c r="AQ938" s="548" t="str">
        <f t="shared" si="108"/>
        <v/>
      </c>
      <c r="AR938" s="260" t="str">
        <f t="shared" si="109"/>
        <v/>
      </c>
      <c r="AS938" s="260" t="str">
        <f t="shared" si="110"/>
        <v/>
      </c>
    </row>
    <row r="939" spans="41:45" hidden="1">
      <c r="AO939" s="612" t="str">
        <f t="shared" si="111"/>
        <v>blank</v>
      </c>
      <c r="AP939" s="260" t="str">
        <f t="shared" si="112"/>
        <v>blank</v>
      </c>
      <c r="AQ939" s="548" t="str">
        <f t="shared" si="108"/>
        <v/>
      </c>
      <c r="AR939" s="260" t="str">
        <f t="shared" si="109"/>
        <v/>
      </c>
      <c r="AS939" s="260" t="str">
        <f t="shared" si="110"/>
        <v/>
      </c>
    </row>
    <row r="940" spans="41:45" hidden="1">
      <c r="AO940" s="612" t="str">
        <f t="shared" si="111"/>
        <v>blank</v>
      </c>
      <c r="AP940" s="260" t="str">
        <f t="shared" si="112"/>
        <v>blank</v>
      </c>
      <c r="AQ940" s="548" t="str">
        <f t="shared" si="108"/>
        <v/>
      </c>
      <c r="AR940" s="260" t="str">
        <f t="shared" si="109"/>
        <v/>
      </c>
      <c r="AS940" s="260" t="str">
        <f t="shared" si="110"/>
        <v/>
      </c>
    </row>
    <row r="941" spans="41:45" hidden="1">
      <c r="AO941" s="612" t="str">
        <f t="shared" si="111"/>
        <v>blank</v>
      </c>
      <c r="AP941" s="260" t="str">
        <f t="shared" si="112"/>
        <v>blank</v>
      </c>
      <c r="AQ941" s="548" t="str">
        <f t="shared" si="108"/>
        <v/>
      </c>
      <c r="AR941" s="260" t="str">
        <f t="shared" si="109"/>
        <v/>
      </c>
      <c r="AS941" s="260" t="str">
        <f t="shared" si="110"/>
        <v/>
      </c>
    </row>
    <row r="942" spans="41:45" hidden="1">
      <c r="AO942" s="612" t="str">
        <f t="shared" si="111"/>
        <v>blank</v>
      </c>
      <c r="AP942" s="260" t="str">
        <f t="shared" si="112"/>
        <v>blank</v>
      </c>
      <c r="AQ942" s="548" t="str">
        <f t="shared" si="108"/>
        <v/>
      </c>
      <c r="AR942" s="260" t="str">
        <f t="shared" si="109"/>
        <v/>
      </c>
      <c r="AS942" s="260" t="str">
        <f t="shared" si="110"/>
        <v/>
      </c>
    </row>
    <row r="943" spans="41:45" hidden="1">
      <c r="AO943" s="612" t="str">
        <f t="shared" si="111"/>
        <v>blank</v>
      </c>
      <c r="AP943" s="260" t="str">
        <f t="shared" si="112"/>
        <v>blank</v>
      </c>
      <c r="AQ943" s="548" t="str">
        <f t="shared" si="108"/>
        <v/>
      </c>
      <c r="AR943" s="260" t="str">
        <f t="shared" si="109"/>
        <v/>
      </c>
      <c r="AS943" s="260" t="str">
        <f t="shared" si="110"/>
        <v/>
      </c>
    </row>
    <row r="944" spans="41:45" hidden="1">
      <c r="AO944" s="612" t="str">
        <f t="shared" si="111"/>
        <v>blank</v>
      </c>
      <c r="AP944" s="260" t="str">
        <f t="shared" si="112"/>
        <v>blank</v>
      </c>
      <c r="AQ944" s="548" t="str">
        <f t="shared" si="108"/>
        <v/>
      </c>
      <c r="AR944" s="260" t="str">
        <f t="shared" si="109"/>
        <v/>
      </c>
      <c r="AS944" s="260" t="str">
        <f t="shared" si="110"/>
        <v/>
      </c>
    </row>
    <row r="945" spans="41:45" hidden="1">
      <c r="AO945" s="612" t="str">
        <f t="shared" si="111"/>
        <v>blank</v>
      </c>
      <c r="AP945" s="260" t="str">
        <f t="shared" si="112"/>
        <v>blank</v>
      </c>
      <c r="AQ945" s="548" t="str">
        <f t="shared" si="108"/>
        <v/>
      </c>
      <c r="AR945" s="260" t="str">
        <f t="shared" si="109"/>
        <v/>
      </c>
      <c r="AS945" s="260" t="str">
        <f t="shared" si="110"/>
        <v/>
      </c>
    </row>
    <row r="946" spans="41:45" hidden="1">
      <c r="AO946" s="612" t="str">
        <f t="shared" si="111"/>
        <v>blank</v>
      </c>
      <c r="AP946" s="260" t="str">
        <f t="shared" si="112"/>
        <v>blank</v>
      </c>
      <c r="AQ946" s="548" t="str">
        <f t="shared" si="108"/>
        <v/>
      </c>
      <c r="AR946" s="260" t="str">
        <f t="shared" si="109"/>
        <v/>
      </c>
      <c r="AS946" s="260" t="str">
        <f t="shared" si="110"/>
        <v/>
      </c>
    </row>
    <row r="947" spans="41:45" hidden="1">
      <c r="AO947" s="612" t="str">
        <f t="shared" si="111"/>
        <v>blank</v>
      </c>
      <c r="AP947" s="260" t="str">
        <f t="shared" si="112"/>
        <v>blank</v>
      </c>
      <c r="AQ947" s="548" t="str">
        <f t="shared" si="108"/>
        <v/>
      </c>
      <c r="AR947" s="260" t="str">
        <f t="shared" si="109"/>
        <v/>
      </c>
      <c r="AS947" s="260" t="str">
        <f t="shared" si="110"/>
        <v/>
      </c>
    </row>
    <row r="948" spans="41:45" hidden="1">
      <c r="AO948" s="612" t="str">
        <f t="shared" si="111"/>
        <v>blank</v>
      </c>
      <c r="AP948" s="260" t="str">
        <f t="shared" si="112"/>
        <v>blank</v>
      </c>
      <c r="AQ948" s="548" t="str">
        <f t="shared" si="108"/>
        <v/>
      </c>
      <c r="AR948" s="260" t="str">
        <f t="shared" si="109"/>
        <v/>
      </c>
      <c r="AS948" s="260" t="str">
        <f t="shared" si="110"/>
        <v/>
      </c>
    </row>
    <row r="949" spans="41:45" hidden="1">
      <c r="AO949" s="612" t="str">
        <f t="shared" si="111"/>
        <v>blank</v>
      </c>
      <c r="AP949" s="260" t="str">
        <f t="shared" si="112"/>
        <v>blank</v>
      </c>
      <c r="AQ949" s="548" t="str">
        <f t="shared" si="108"/>
        <v/>
      </c>
      <c r="AR949" s="260" t="str">
        <f t="shared" si="109"/>
        <v/>
      </c>
      <c r="AS949" s="260" t="str">
        <f t="shared" si="110"/>
        <v/>
      </c>
    </row>
    <row r="950" spans="41:45" hidden="1">
      <c r="AO950" s="612" t="str">
        <f t="shared" si="111"/>
        <v>blank</v>
      </c>
      <c r="AP950" s="260" t="str">
        <f t="shared" si="112"/>
        <v>blank</v>
      </c>
      <c r="AQ950" s="548" t="str">
        <f t="shared" si="108"/>
        <v/>
      </c>
      <c r="AR950" s="260" t="str">
        <f t="shared" si="109"/>
        <v/>
      </c>
      <c r="AS950" s="260" t="str">
        <f t="shared" si="110"/>
        <v/>
      </c>
    </row>
    <row r="951" spans="41:45" hidden="1">
      <c r="AO951" s="612" t="str">
        <f t="shared" si="111"/>
        <v>blank</v>
      </c>
      <c r="AP951" s="260" t="str">
        <f t="shared" si="112"/>
        <v>blank</v>
      </c>
      <c r="AQ951" s="548" t="str">
        <f t="shared" si="108"/>
        <v/>
      </c>
      <c r="AR951" s="260" t="str">
        <f t="shared" si="109"/>
        <v/>
      </c>
      <c r="AS951" s="260" t="str">
        <f t="shared" si="110"/>
        <v/>
      </c>
    </row>
    <row r="952" spans="41:45" hidden="1">
      <c r="AO952" s="612" t="str">
        <f t="shared" si="111"/>
        <v>blank</v>
      </c>
      <c r="AP952" s="260" t="str">
        <f t="shared" si="112"/>
        <v>blank</v>
      </c>
      <c r="AQ952" s="548" t="str">
        <f t="shared" si="108"/>
        <v/>
      </c>
      <c r="AR952" s="260" t="str">
        <f t="shared" si="109"/>
        <v/>
      </c>
      <c r="AS952" s="260" t="str">
        <f t="shared" si="110"/>
        <v/>
      </c>
    </row>
    <row r="953" spans="41:45" hidden="1">
      <c r="AO953" s="612" t="str">
        <f t="shared" si="111"/>
        <v>blank</v>
      </c>
      <c r="AP953" s="260" t="str">
        <f t="shared" si="112"/>
        <v>blank</v>
      </c>
      <c r="AQ953" s="548" t="str">
        <f t="shared" si="108"/>
        <v/>
      </c>
      <c r="AR953" s="260" t="str">
        <f t="shared" si="109"/>
        <v/>
      </c>
      <c r="AS953" s="260" t="str">
        <f t="shared" si="110"/>
        <v/>
      </c>
    </row>
    <row r="954" spans="41:45" hidden="1">
      <c r="AO954" s="612" t="str">
        <f t="shared" si="111"/>
        <v>blank</v>
      </c>
      <c r="AP954" s="260" t="str">
        <f t="shared" si="112"/>
        <v>blank</v>
      </c>
      <c r="AQ954" s="548" t="str">
        <f t="shared" si="108"/>
        <v/>
      </c>
      <c r="AR954" s="260" t="str">
        <f t="shared" si="109"/>
        <v/>
      </c>
      <c r="AS954" s="260" t="str">
        <f t="shared" si="110"/>
        <v/>
      </c>
    </row>
    <row r="955" spans="41:45" hidden="1">
      <c r="AO955" s="612" t="str">
        <f t="shared" si="111"/>
        <v>blank</v>
      </c>
      <c r="AP955" s="260" t="str">
        <f t="shared" si="112"/>
        <v>blank</v>
      </c>
      <c r="AQ955" s="548" t="str">
        <f t="shared" si="108"/>
        <v/>
      </c>
      <c r="AR955" s="260" t="str">
        <f t="shared" si="109"/>
        <v/>
      </c>
      <c r="AS955" s="260" t="str">
        <f t="shared" si="110"/>
        <v/>
      </c>
    </row>
    <row r="956" spans="41:45" hidden="1">
      <c r="AO956" s="612" t="str">
        <f t="shared" si="111"/>
        <v>blank</v>
      </c>
      <c r="AP956" s="260" t="str">
        <f t="shared" si="112"/>
        <v>blank</v>
      </c>
      <c r="AQ956" s="548" t="str">
        <f t="shared" si="108"/>
        <v/>
      </c>
      <c r="AR956" s="260" t="str">
        <f t="shared" si="109"/>
        <v/>
      </c>
      <c r="AS956" s="260" t="str">
        <f t="shared" si="110"/>
        <v/>
      </c>
    </row>
    <row r="957" spans="41:45" hidden="1">
      <c r="AO957" s="612" t="str">
        <f t="shared" si="111"/>
        <v>blank</v>
      </c>
      <c r="AP957" s="260" t="str">
        <f t="shared" si="112"/>
        <v>blank</v>
      </c>
      <c r="AQ957" s="548" t="str">
        <f t="shared" si="108"/>
        <v/>
      </c>
      <c r="AR957" s="260" t="str">
        <f t="shared" si="109"/>
        <v/>
      </c>
      <c r="AS957" s="260" t="str">
        <f t="shared" si="110"/>
        <v/>
      </c>
    </row>
    <row r="958" spans="41:45" hidden="1">
      <c r="AO958" s="612" t="str">
        <f t="shared" si="111"/>
        <v>blank</v>
      </c>
      <c r="AP958" s="260" t="str">
        <f t="shared" si="112"/>
        <v>blank</v>
      </c>
      <c r="AQ958" s="548" t="str">
        <f t="shared" si="108"/>
        <v/>
      </c>
      <c r="AR958" s="260" t="str">
        <f t="shared" si="109"/>
        <v/>
      </c>
      <c r="AS958" s="260" t="str">
        <f t="shared" si="110"/>
        <v/>
      </c>
    </row>
    <row r="959" spans="41:45" hidden="1">
      <c r="AO959" s="612" t="str">
        <f t="shared" si="111"/>
        <v>blank</v>
      </c>
      <c r="AP959" s="260" t="str">
        <f t="shared" si="112"/>
        <v>blank</v>
      </c>
      <c r="AQ959" s="548" t="str">
        <f t="shared" si="108"/>
        <v/>
      </c>
      <c r="AR959" s="260" t="str">
        <f t="shared" si="109"/>
        <v/>
      </c>
      <c r="AS959" s="260" t="str">
        <f t="shared" si="110"/>
        <v/>
      </c>
    </row>
    <row r="960" spans="41:45" hidden="1">
      <c r="AO960" s="612" t="str">
        <f t="shared" si="111"/>
        <v>blank</v>
      </c>
      <c r="AP960" s="260" t="str">
        <f t="shared" si="112"/>
        <v>blank</v>
      </c>
      <c r="AQ960" s="548" t="str">
        <f t="shared" si="108"/>
        <v/>
      </c>
      <c r="AR960" s="260" t="str">
        <f t="shared" si="109"/>
        <v/>
      </c>
      <c r="AS960" s="260" t="str">
        <f t="shared" si="110"/>
        <v/>
      </c>
    </row>
    <row r="961" spans="41:45" hidden="1">
      <c r="AO961" s="612" t="str">
        <f t="shared" si="111"/>
        <v>blank</v>
      </c>
      <c r="AP961" s="260" t="str">
        <f t="shared" si="112"/>
        <v>blank</v>
      </c>
      <c r="AQ961" s="548" t="str">
        <f t="shared" si="108"/>
        <v/>
      </c>
      <c r="AR961" s="260" t="str">
        <f t="shared" si="109"/>
        <v/>
      </c>
      <c r="AS961" s="260" t="str">
        <f t="shared" si="110"/>
        <v/>
      </c>
    </row>
    <row r="962" spans="41:45" hidden="1">
      <c r="AO962" s="612" t="str">
        <f t="shared" si="111"/>
        <v>blank</v>
      </c>
      <c r="AP962" s="260" t="str">
        <f t="shared" si="112"/>
        <v>blank</v>
      </c>
      <c r="AQ962" s="548" t="str">
        <f t="shared" si="108"/>
        <v/>
      </c>
      <c r="AR962" s="260" t="str">
        <f t="shared" si="109"/>
        <v/>
      </c>
      <c r="AS962" s="260" t="str">
        <f t="shared" si="110"/>
        <v/>
      </c>
    </row>
    <row r="963" spans="41:45" hidden="1">
      <c r="AO963" s="612" t="str">
        <f t="shared" si="111"/>
        <v>blank</v>
      </c>
      <c r="AP963" s="260" t="str">
        <f t="shared" si="112"/>
        <v>blank</v>
      </c>
      <c r="AQ963" s="548" t="str">
        <f t="shared" ref="AQ963:AQ983" si="113">IFERROR(IF(AND(AO963="Yes", AP963&lt;&gt;"blank"), "有定金+客戶送貨期", IF(AND(AO963="Yes", AP963="blank"), "有定金+无客戶送貨期", IF(AND(OR(AO963="No", ISBLANK(AO963), AO963="NA"), AP963&lt;&gt;"blank"), "无定金+有客戶送貨期", IF(AND(OR(AO963="No", ISBLANK(AO963), AO963="NA"), AP963="blank"), "无定金+无客戶送貨期", "")))), "")</f>
        <v/>
      </c>
      <c r="AR963" s="260" t="str">
        <f t="shared" ref="AR963:AR983" si="114">IFERROR(IF(B963="已经到货", "Instock", IF(B963="有交期", "Incoming_Stock_With_YAMAHA_Schedule", IF(B963="TBA.", "Incoming_Stock_No_YAMAHA_Schedule", IF(B963="已发货", "Shipped_Stock", "")))), "")</f>
        <v/>
      </c>
      <c r="AS963" s="260" t="str">
        <f t="shared" ref="AS963:AS983" si="115">IF(AND(B963="有交期", L963&lt;&gt;""), L963, "")</f>
        <v/>
      </c>
    </row>
    <row r="964" spans="41:45" hidden="1">
      <c r="AO964" s="612" t="str">
        <f t="shared" si="111"/>
        <v>blank</v>
      </c>
      <c r="AP964" s="260" t="str">
        <f t="shared" si="112"/>
        <v>blank</v>
      </c>
      <c r="AQ964" s="548" t="str">
        <f t="shared" si="113"/>
        <v/>
      </c>
      <c r="AR964" s="260" t="str">
        <f t="shared" si="114"/>
        <v/>
      </c>
      <c r="AS964" s="260" t="str">
        <f t="shared" si="115"/>
        <v/>
      </c>
    </row>
    <row r="965" spans="41:45" hidden="1">
      <c r="AO965" s="612" t="str">
        <f t="shared" si="111"/>
        <v>blank</v>
      </c>
      <c r="AP965" s="260" t="str">
        <f t="shared" si="112"/>
        <v>blank</v>
      </c>
      <c r="AQ965" s="548" t="str">
        <f t="shared" si="113"/>
        <v/>
      </c>
      <c r="AR965" s="260" t="str">
        <f t="shared" si="114"/>
        <v/>
      </c>
      <c r="AS965" s="260" t="str">
        <f t="shared" si="115"/>
        <v/>
      </c>
    </row>
    <row r="966" spans="41:45" hidden="1">
      <c r="AO966" s="612" t="str">
        <f t="shared" si="111"/>
        <v>blank</v>
      </c>
      <c r="AP966" s="260" t="str">
        <f t="shared" si="112"/>
        <v>blank</v>
      </c>
      <c r="AQ966" s="548" t="str">
        <f t="shared" si="113"/>
        <v/>
      </c>
      <c r="AR966" s="260" t="str">
        <f t="shared" si="114"/>
        <v/>
      </c>
      <c r="AS966" s="260" t="str">
        <f t="shared" si="115"/>
        <v/>
      </c>
    </row>
    <row r="967" spans="41:45" hidden="1">
      <c r="AO967" s="612" t="str">
        <f t="shared" si="111"/>
        <v>blank</v>
      </c>
      <c r="AP967" s="260" t="str">
        <f t="shared" si="112"/>
        <v>blank</v>
      </c>
      <c r="AQ967" s="548" t="str">
        <f t="shared" si="113"/>
        <v/>
      </c>
      <c r="AR967" s="260" t="str">
        <f t="shared" si="114"/>
        <v/>
      </c>
      <c r="AS967" s="260" t="str">
        <f t="shared" si="115"/>
        <v/>
      </c>
    </row>
    <row r="968" spans="41:45" hidden="1">
      <c r="AO968" s="612" t="str">
        <f t="shared" si="111"/>
        <v>blank</v>
      </c>
      <c r="AP968" s="260" t="str">
        <f t="shared" si="112"/>
        <v>blank</v>
      </c>
      <c r="AQ968" s="548" t="str">
        <f t="shared" si="113"/>
        <v/>
      </c>
      <c r="AR968" s="260" t="str">
        <f t="shared" si="114"/>
        <v/>
      </c>
      <c r="AS968" s="260" t="str">
        <f t="shared" si="115"/>
        <v/>
      </c>
    </row>
    <row r="969" spans="41:45" hidden="1">
      <c r="AO969" s="612" t="str">
        <f t="shared" si="111"/>
        <v>blank</v>
      </c>
      <c r="AP969" s="260" t="str">
        <f t="shared" si="112"/>
        <v>blank</v>
      </c>
      <c r="AQ969" s="548" t="str">
        <f t="shared" si="113"/>
        <v/>
      </c>
      <c r="AR969" s="260" t="str">
        <f t="shared" si="114"/>
        <v/>
      </c>
      <c r="AS969" s="260" t="str">
        <f t="shared" si="115"/>
        <v/>
      </c>
    </row>
    <row r="970" spans="41:45" hidden="1">
      <c r="AO970" s="612" t="str">
        <f t="shared" si="111"/>
        <v>blank</v>
      </c>
      <c r="AP970" s="260" t="str">
        <f t="shared" si="112"/>
        <v>blank</v>
      </c>
      <c r="AQ970" s="548" t="str">
        <f t="shared" si="113"/>
        <v/>
      </c>
      <c r="AR970" s="260" t="str">
        <f t="shared" si="114"/>
        <v/>
      </c>
      <c r="AS970" s="260" t="str">
        <f t="shared" si="115"/>
        <v/>
      </c>
    </row>
    <row r="971" spans="41:45" hidden="1">
      <c r="AO971" s="612" t="str">
        <f t="shared" si="111"/>
        <v>blank</v>
      </c>
      <c r="AP971" s="260" t="str">
        <f t="shared" si="112"/>
        <v>blank</v>
      </c>
      <c r="AQ971" s="548" t="str">
        <f t="shared" si="113"/>
        <v/>
      </c>
      <c r="AR971" s="260" t="str">
        <f t="shared" si="114"/>
        <v/>
      </c>
      <c r="AS971" s="260" t="str">
        <f t="shared" si="115"/>
        <v/>
      </c>
    </row>
    <row r="972" spans="41:45" hidden="1">
      <c r="AO972" s="612" t="str">
        <f t="shared" si="111"/>
        <v>blank</v>
      </c>
      <c r="AP972" s="260" t="str">
        <f t="shared" si="112"/>
        <v>blank</v>
      </c>
      <c r="AQ972" s="548" t="str">
        <f t="shared" si="113"/>
        <v/>
      </c>
      <c r="AR972" s="260" t="str">
        <f t="shared" si="114"/>
        <v/>
      </c>
      <c r="AS972" s="260" t="str">
        <f t="shared" si="115"/>
        <v/>
      </c>
    </row>
    <row r="973" spans="41:45" hidden="1">
      <c r="AO973" s="612" t="str">
        <f t="shared" si="111"/>
        <v>blank</v>
      </c>
      <c r="AP973" s="260" t="str">
        <f t="shared" si="112"/>
        <v>blank</v>
      </c>
      <c r="AQ973" s="548" t="str">
        <f t="shared" si="113"/>
        <v/>
      </c>
      <c r="AR973" s="260" t="str">
        <f t="shared" si="114"/>
        <v/>
      </c>
      <c r="AS973" s="260" t="str">
        <f t="shared" si="115"/>
        <v/>
      </c>
    </row>
    <row r="974" spans="41:45" hidden="1">
      <c r="AO974" s="612" t="str">
        <f t="shared" si="111"/>
        <v>blank</v>
      </c>
      <c r="AP974" s="260" t="str">
        <f t="shared" si="112"/>
        <v>blank</v>
      </c>
      <c r="AQ974" s="548" t="str">
        <f t="shared" si="113"/>
        <v/>
      </c>
      <c r="AR974" s="260" t="str">
        <f t="shared" si="114"/>
        <v/>
      </c>
      <c r="AS974" s="260" t="str">
        <f t="shared" si="115"/>
        <v/>
      </c>
    </row>
    <row r="975" spans="41:45" hidden="1">
      <c r="AO975" s="612" t="str">
        <f t="shared" si="111"/>
        <v>blank</v>
      </c>
      <c r="AP975" s="260" t="str">
        <f t="shared" si="112"/>
        <v>blank</v>
      </c>
      <c r="AQ975" s="548" t="str">
        <f t="shared" si="113"/>
        <v/>
      </c>
      <c r="AR975" s="260" t="str">
        <f t="shared" si="114"/>
        <v/>
      </c>
      <c r="AS975" s="260" t="str">
        <f t="shared" si="115"/>
        <v/>
      </c>
    </row>
    <row r="976" spans="41:45" hidden="1">
      <c r="AO976" s="612" t="str">
        <f t="shared" si="111"/>
        <v>blank</v>
      </c>
      <c r="AP976" s="260" t="str">
        <f t="shared" si="112"/>
        <v>blank</v>
      </c>
      <c r="AQ976" s="548" t="str">
        <f t="shared" si="113"/>
        <v/>
      </c>
      <c r="AR976" s="260" t="str">
        <f t="shared" si="114"/>
        <v/>
      </c>
      <c r="AS976" s="260" t="str">
        <f t="shared" si="115"/>
        <v/>
      </c>
    </row>
    <row r="977" spans="41:45" hidden="1">
      <c r="AO977" s="612" t="str">
        <f t="shared" si="111"/>
        <v>blank</v>
      </c>
      <c r="AP977" s="260" t="str">
        <f t="shared" si="112"/>
        <v>blank</v>
      </c>
      <c r="AQ977" s="548" t="str">
        <f t="shared" si="113"/>
        <v/>
      </c>
      <c r="AR977" s="260" t="str">
        <f t="shared" si="114"/>
        <v/>
      </c>
      <c r="AS977" s="260" t="str">
        <f t="shared" si="115"/>
        <v/>
      </c>
    </row>
    <row r="978" spans="41:45" hidden="1">
      <c r="AO978" s="612" t="str">
        <f t="shared" si="111"/>
        <v>blank</v>
      </c>
      <c r="AP978" s="260" t="str">
        <f t="shared" si="112"/>
        <v>blank</v>
      </c>
      <c r="AQ978" s="548" t="str">
        <f t="shared" si="113"/>
        <v/>
      </c>
      <c r="AR978" s="260" t="str">
        <f t="shared" si="114"/>
        <v/>
      </c>
      <c r="AS978" s="260" t="str">
        <f t="shared" si="115"/>
        <v/>
      </c>
    </row>
    <row r="979" spans="41:45" hidden="1">
      <c r="AO979" s="612" t="str">
        <f t="shared" si="111"/>
        <v>blank</v>
      </c>
      <c r="AP979" s="260" t="str">
        <f t="shared" si="112"/>
        <v>blank</v>
      </c>
      <c r="AQ979" s="548" t="str">
        <f t="shared" si="113"/>
        <v/>
      </c>
      <c r="AR979" s="260" t="str">
        <f t="shared" si="114"/>
        <v/>
      </c>
      <c r="AS979" s="260" t="str">
        <f t="shared" si="115"/>
        <v/>
      </c>
    </row>
    <row r="980" spans="41:45" hidden="1">
      <c r="AO980" s="612" t="str">
        <f t="shared" si="111"/>
        <v>blank</v>
      </c>
      <c r="AP980" s="260" t="str">
        <f t="shared" si="112"/>
        <v>blank</v>
      </c>
      <c r="AQ980" s="548" t="str">
        <f t="shared" si="113"/>
        <v/>
      </c>
      <c r="AR980" s="260" t="str">
        <f t="shared" si="114"/>
        <v/>
      </c>
      <c r="AS980" s="260" t="str">
        <f t="shared" si="115"/>
        <v/>
      </c>
    </row>
    <row r="981" spans="41:45" hidden="1">
      <c r="AO981" s="612" t="str">
        <f t="shared" si="111"/>
        <v>blank</v>
      </c>
      <c r="AP981" s="260" t="str">
        <f t="shared" si="112"/>
        <v>blank</v>
      </c>
      <c r="AQ981" s="548" t="str">
        <f t="shared" si="113"/>
        <v/>
      </c>
      <c r="AR981" s="260" t="str">
        <f t="shared" si="114"/>
        <v/>
      </c>
      <c r="AS981" s="260" t="str">
        <f t="shared" si="115"/>
        <v/>
      </c>
    </row>
    <row r="982" spans="41:45" hidden="1">
      <c r="AO982" s="612" t="str">
        <f t="shared" ref="AO982:AO983" si="116">IFERROR(IF(Y982&lt;&gt;"",Y982,"blank"),"NA")</f>
        <v>blank</v>
      </c>
      <c r="AP982" s="260" t="str">
        <f t="shared" ref="AP982:AP983" si="117">IFERROR(IF(N982&lt;&gt;"",N982,"blank"),"NA")</f>
        <v>blank</v>
      </c>
      <c r="AQ982" s="548" t="str">
        <f t="shared" si="113"/>
        <v/>
      </c>
      <c r="AR982" s="260" t="str">
        <f t="shared" si="114"/>
        <v/>
      </c>
      <c r="AS982" s="260" t="str">
        <f t="shared" si="115"/>
        <v/>
      </c>
    </row>
    <row r="983" spans="41:45" hidden="1">
      <c r="AO983" s="612" t="str">
        <f t="shared" si="116"/>
        <v>blank</v>
      </c>
      <c r="AP983" s="260" t="str">
        <f t="shared" si="117"/>
        <v>blank</v>
      </c>
      <c r="AQ983" s="548" t="str">
        <f t="shared" si="113"/>
        <v/>
      </c>
      <c r="AR983" s="260" t="str">
        <f t="shared" si="114"/>
        <v/>
      </c>
      <c r="AS983" s="260" t="str">
        <f t="shared" si="115"/>
        <v/>
      </c>
    </row>
    <row r="1275" spans="9:9">
      <c r="I1275" s="568" ph="1"/>
    </row>
  </sheetData>
  <sheetProtection formatCells="0" formatColumns="0" formatRows="0" insertColumns="0" insertRows="0" insertHyperlinks="0" deleteColumns="0" deleteRows="0" selectLockedCells="1" sort="0" autoFilter="0" pivotTables="0"/>
  <autoFilter ref="A1:XFA983" xr:uid="{00000000-0001-0000-0100-000000000000}">
    <filterColumn colId="1">
      <filters>
        <filter val="已经到货"/>
      </filters>
    </filterColumn>
  </autoFilter>
  <phoneticPr fontId="3" type="noConversion"/>
  <conditionalFormatting sqref="V80:V1048576 V1:V23">
    <cfRule type="cellIs" dxfId="624" priority="4857" operator="equal">
      <formula>"WRONG"</formula>
    </cfRule>
  </conditionalFormatting>
  <conditionalFormatting sqref="AA80:AA1048576 AA11:AA23 AA2:AA9">
    <cfRule type="cellIs" dxfId="623" priority="4849" operator="lessThan">
      <formula>TODAY()</formula>
    </cfRule>
    <cfRule type="cellIs" dxfId="622" priority="4850" operator="lessThan">
      <formula>TODAY()</formula>
    </cfRule>
  </conditionalFormatting>
  <conditionalFormatting sqref="AA79">
    <cfRule type="cellIs" dxfId="621" priority="1223" operator="lessThan">
      <formula>TODAY()</formula>
    </cfRule>
    <cfRule type="cellIs" dxfId="620" priority="1224" operator="lessThan">
      <formula>TODAY()</formula>
    </cfRule>
  </conditionalFormatting>
  <conditionalFormatting sqref="V79">
    <cfRule type="cellIs" dxfId="619" priority="1222" operator="equal">
      <formula>"WRONG"</formula>
    </cfRule>
  </conditionalFormatting>
  <conditionalFormatting sqref="W1">
    <cfRule type="cellIs" dxfId="618" priority="1089" operator="equal">
      <formula>"WRONG"</formula>
    </cfRule>
  </conditionalFormatting>
  <conditionalFormatting sqref="AA10 AA5">
    <cfRule type="cellIs" dxfId="617" priority="327" operator="lessThan">
      <formula>TODAY()</formula>
    </cfRule>
    <cfRule type="cellIs" dxfId="616" priority="328" operator="lessThan">
      <formula>TODAY()</formula>
    </cfRule>
  </conditionalFormatting>
  <conditionalFormatting sqref="AA78">
    <cfRule type="cellIs" dxfId="615" priority="276" operator="lessThan">
      <formula>TODAY()</formula>
    </cfRule>
    <cfRule type="cellIs" dxfId="614" priority="277" operator="lessThan">
      <formula>TODAY()</formula>
    </cfRule>
  </conditionalFormatting>
  <conditionalFormatting sqref="V78">
    <cfRule type="cellIs" dxfId="613" priority="275" operator="equal">
      <formula>"WRONG"</formula>
    </cfRule>
  </conditionalFormatting>
  <conditionalFormatting sqref="AA77">
    <cfRule type="cellIs" dxfId="612" priority="269" operator="lessThan">
      <formula>TODAY()</formula>
    </cfRule>
    <cfRule type="cellIs" dxfId="611" priority="270" operator="lessThan">
      <formula>TODAY()</formula>
    </cfRule>
  </conditionalFormatting>
  <conditionalFormatting sqref="V77">
    <cfRule type="cellIs" dxfId="610" priority="268" operator="equal">
      <formula>"WRONG"</formula>
    </cfRule>
  </conditionalFormatting>
  <conditionalFormatting sqref="V24:V26">
    <cfRule type="cellIs" dxfId="609" priority="219" operator="equal">
      <formula>"WRONG"</formula>
    </cfRule>
  </conditionalFormatting>
  <conditionalFormatting sqref="AA24:AA26">
    <cfRule type="cellIs" dxfId="608" priority="217" operator="lessThan">
      <formula>TODAY()</formula>
    </cfRule>
    <cfRule type="cellIs" dxfId="607" priority="218" operator="lessThan">
      <formula>TODAY()</formula>
    </cfRule>
  </conditionalFormatting>
  <conditionalFormatting sqref="V27">
    <cfRule type="cellIs" dxfId="606" priority="212" operator="equal">
      <formula>"WRONG"</formula>
    </cfRule>
  </conditionalFormatting>
  <conditionalFormatting sqref="AA27">
    <cfRule type="cellIs" dxfId="605" priority="210" operator="lessThan">
      <formula>TODAY()</formula>
    </cfRule>
    <cfRule type="cellIs" dxfId="604" priority="211" operator="lessThan">
      <formula>TODAY()</formula>
    </cfRule>
  </conditionalFormatting>
  <conditionalFormatting sqref="V28">
    <cfRule type="cellIs" dxfId="603" priority="205" operator="equal">
      <formula>"WRONG"</formula>
    </cfRule>
  </conditionalFormatting>
  <conditionalFormatting sqref="AA28">
    <cfRule type="cellIs" dxfId="602" priority="203" operator="lessThan">
      <formula>TODAY()</formula>
    </cfRule>
    <cfRule type="cellIs" dxfId="601" priority="204" operator="lessThan">
      <formula>TODAY()</formula>
    </cfRule>
  </conditionalFormatting>
  <conditionalFormatting sqref="AA38 AA59">
    <cfRule type="cellIs" dxfId="600" priority="197" operator="lessThan">
      <formula>TODAY()</formula>
    </cfRule>
    <cfRule type="cellIs" dxfId="599" priority="198" operator="lessThan">
      <formula>TODAY()</formula>
    </cfRule>
  </conditionalFormatting>
  <conditionalFormatting sqref="V38 V59">
    <cfRule type="cellIs" dxfId="598" priority="196" operator="equal">
      <formula>"WRONG"</formula>
    </cfRule>
  </conditionalFormatting>
  <conditionalFormatting sqref="AA37">
    <cfRule type="cellIs" dxfId="597" priority="194" operator="lessThan">
      <formula>TODAY()</formula>
    </cfRule>
    <cfRule type="cellIs" dxfId="596" priority="195" operator="lessThan">
      <formula>TODAY()</formula>
    </cfRule>
  </conditionalFormatting>
  <conditionalFormatting sqref="V37">
    <cfRule type="cellIs" dxfId="595" priority="193" operator="equal">
      <formula>"WRONG"</formula>
    </cfRule>
  </conditionalFormatting>
  <conditionalFormatting sqref="AA36">
    <cfRule type="cellIs" dxfId="594" priority="191" operator="lessThan">
      <formula>TODAY()</formula>
    </cfRule>
    <cfRule type="cellIs" dxfId="593" priority="192" operator="lessThan">
      <formula>TODAY()</formula>
    </cfRule>
  </conditionalFormatting>
  <conditionalFormatting sqref="V36">
    <cfRule type="cellIs" dxfId="592" priority="190" operator="equal">
      <formula>"WRONG"</formula>
    </cfRule>
  </conditionalFormatting>
  <conditionalFormatting sqref="AA35">
    <cfRule type="cellIs" dxfId="591" priority="184" operator="lessThan">
      <formula>TODAY()</formula>
    </cfRule>
    <cfRule type="cellIs" dxfId="590" priority="185" operator="lessThan">
      <formula>TODAY()</formula>
    </cfRule>
  </conditionalFormatting>
  <conditionalFormatting sqref="V35">
    <cfRule type="cellIs" dxfId="589" priority="183" operator="equal">
      <formula>"WRONG"</formula>
    </cfRule>
  </conditionalFormatting>
  <conditionalFormatting sqref="AA34">
    <cfRule type="cellIs" dxfId="588" priority="181" operator="lessThan">
      <formula>TODAY()</formula>
    </cfRule>
    <cfRule type="cellIs" dxfId="587" priority="182" operator="lessThan">
      <formula>TODAY()</formula>
    </cfRule>
  </conditionalFormatting>
  <conditionalFormatting sqref="V34">
    <cfRule type="cellIs" dxfId="586" priority="180" operator="equal">
      <formula>"WRONG"</formula>
    </cfRule>
  </conditionalFormatting>
  <conditionalFormatting sqref="AA33">
    <cfRule type="cellIs" dxfId="585" priority="174" operator="lessThan">
      <formula>TODAY()</formula>
    </cfRule>
    <cfRule type="cellIs" dxfId="584" priority="175" operator="lessThan">
      <formula>TODAY()</formula>
    </cfRule>
  </conditionalFormatting>
  <conditionalFormatting sqref="V33">
    <cfRule type="cellIs" dxfId="583" priority="173" operator="equal">
      <formula>"WRONG"</formula>
    </cfRule>
  </conditionalFormatting>
  <conditionalFormatting sqref="AA32">
    <cfRule type="cellIs" dxfId="582" priority="171" operator="lessThan">
      <formula>TODAY()</formula>
    </cfRule>
    <cfRule type="cellIs" dxfId="581" priority="172" operator="lessThan">
      <formula>TODAY()</formula>
    </cfRule>
  </conditionalFormatting>
  <conditionalFormatting sqref="V32">
    <cfRule type="cellIs" dxfId="580" priority="170" operator="equal">
      <formula>"WRONG"</formula>
    </cfRule>
  </conditionalFormatting>
  <conditionalFormatting sqref="AA31">
    <cfRule type="cellIs" dxfId="579" priority="168" operator="lessThan">
      <formula>TODAY()</formula>
    </cfRule>
    <cfRule type="cellIs" dxfId="578" priority="169" operator="lessThan">
      <formula>TODAY()</formula>
    </cfRule>
  </conditionalFormatting>
  <conditionalFormatting sqref="V31">
    <cfRule type="cellIs" dxfId="577" priority="167" operator="equal">
      <formula>"WRONG"</formula>
    </cfRule>
  </conditionalFormatting>
  <conditionalFormatting sqref="AA30">
    <cfRule type="cellIs" dxfId="576" priority="161" operator="lessThan">
      <formula>TODAY()</formula>
    </cfRule>
    <cfRule type="cellIs" dxfId="575" priority="162" operator="lessThan">
      <formula>TODAY()</formula>
    </cfRule>
  </conditionalFormatting>
  <conditionalFormatting sqref="V30">
    <cfRule type="cellIs" dxfId="574" priority="160" operator="equal">
      <formula>"WRONG"</formula>
    </cfRule>
  </conditionalFormatting>
  <conditionalFormatting sqref="AA29">
    <cfRule type="cellIs" dxfId="573" priority="154" operator="lessThan">
      <formula>TODAY()</formula>
    </cfRule>
    <cfRule type="cellIs" dxfId="572" priority="155" operator="lessThan">
      <formula>TODAY()</formula>
    </cfRule>
  </conditionalFormatting>
  <conditionalFormatting sqref="V29">
    <cfRule type="cellIs" dxfId="571" priority="153" operator="equal">
      <formula>"WRONG"</formula>
    </cfRule>
  </conditionalFormatting>
  <conditionalFormatting sqref="AA26">
    <cfRule type="cellIs" dxfId="570" priority="151" operator="lessThan">
      <formula>TODAY()</formula>
    </cfRule>
    <cfRule type="cellIs" dxfId="569" priority="152" operator="lessThan">
      <formula>TODAY()</formula>
    </cfRule>
  </conditionalFormatting>
  <conditionalFormatting sqref="V26">
    <cfRule type="cellIs" dxfId="568" priority="150" operator="equal">
      <formula>"WRONG"</formula>
    </cfRule>
  </conditionalFormatting>
  <conditionalFormatting sqref="AA25">
    <cfRule type="cellIs" dxfId="567" priority="144" operator="lessThan">
      <formula>TODAY()</formula>
    </cfRule>
    <cfRule type="cellIs" dxfId="566" priority="145" operator="lessThan">
      <formula>TODAY()</formula>
    </cfRule>
  </conditionalFormatting>
  <conditionalFormatting sqref="V25">
    <cfRule type="cellIs" dxfId="565" priority="143" operator="equal">
      <formula>"WRONG"</formula>
    </cfRule>
  </conditionalFormatting>
  <conditionalFormatting sqref="AA58">
    <cfRule type="cellIs" dxfId="564" priority="128" operator="lessThan">
      <formula>TODAY()</formula>
    </cfRule>
    <cfRule type="cellIs" dxfId="563" priority="129" operator="lessThan">
      <formula>TODAY()</formula>
    </cfRule>
  </conditionalFormatting>
  <conditionalFormatting sqref="V58">
    <cfRule type="cellIs" dxfId="562" priority="127" operator="equal">
      <formula>"WRONG"</formula>
    </cfRule>
  </conditionalFormatting>
  <conditionalFormatting sqref="AA52">
    <cfRule type="cellIs" dxfId="561" priority="125" operator="lessThan">
      <formula>TODAY()</formula>
    </cfRule>
    <cfRule type="cellIs" dxfId="560" priority="126" operator="lessThan">
      <formula>TODAY()</formula>
    </cfRule>
  </conditionalFormatting>
  <conditionalFormatting sqref="V52">
    <cfRule type="cellIs" dxfId="559" priority="124" operator="equal">
      <formula>"WRONG"</formula>
    </cfRule>
  </conditionalFormatting>
  <conditionalFormatting sqref="AA57">
    <cfRule type="cellIs" dxfId="558" priority="122" operator="lessThan">
      <formula>TODAY()</formula>
    </cfRule>
    <cfRule type="cellIs" dxfId="557" priority="123" operator="lessThan">
      <formula>TODAY()</formula>
    </cfRule>
  </conditionalFormatting>
  <conditionalFormatting sqref="V57">
    <cfRule type="cellIs" dxfId="556" priority="121" operator="equal">
      <formula>"WRONG"</formula>
    </cfRule>
  </conditionalFormatting>
  <conditionalFormatting sqref="AA44">
    <cfRule type="cellIs" dxfId="555" priority="119" operator="lessThan">
      <formula>TODAY()</formula>
    </cfRule>
    <cfRule type="cellIs" dxfId="554" priority="120" operator="lessThan">
      <formula>TODAY()</formula>
    </cfRule>
  </conditionalFormatting>
  <conditionalFormatting sqref="V44">
    <cfRule type="cellIs" dxfId="553" priority="118" operator="equal">
      <formula>"WRONG"</formula>
    </cfRule>
  </conditionalFormatting>
  <conditionalFormatting sqref="AA43">
    <cfRule type="cellIs" dxfId="552" priority="116" operator="lessThan">
      <formula>TODAY()</formula>
    </cfRule>
    <cfRule type="cellIs" dxfId="551" priority="117" operator="lessThan">
      <formula>TODAY()</formula>
    </cfRule>
  </conditionalFormatting>
  <conditionalFormatting sqref="V43">
    <cfRule type="cellIs" dxfId="550" priority="115" operator="equal">
      <formula>"WRONG"</formula>
    </cfRule>
  </conditionalFormatting>
  <conditionalFormatting sqref="AA42">
    <cfRule type="cellIs" dxfId="549" priority="113" operator="lessThan">
      <formula>TODAY()</formula>
    </cfRule>
    <cfRule type="cellIs" dxfId="548" priority="114" operator="lessThan">
      <formula>TODAY()</formula>
    </cfRule>
  </conditionalFormatting>
  <conditionalFormatting sqref="V42">
    <cfRule type="cellIs" dxfId="547" priority="112" operator="equal">
      <formula>"WRONG"</formula>
    </cfRule>
  </conditionalFormatting>
  <conditionalFormatting sqref="AA41">
    <cfRule type="cellIs" dxfId="546" priority="110" operator="lessThan">
      <formula>TODAY()</formula>
    </cfRule>
    <cfRule type="cellIs" dxfId="545" priority="111" operator="lessThan">
      <formula>TODAY()</formula>
    </cfRule>
  </conditionalFormatting>
  <conditionalFormatting sqref="V41">
    <cfRule type="cellIs" dxfId="544" priority="109" operator="equal">
      <formula>"WRONG"</formula>
    </cfRule>
  </conditionalFormatting>
  <conditionalFormatting sqref="AA40">
    <cfRule type="cellIs" dxfId="543" priority="107" operator="lessThan">
      <formula>TODAY()</formula>
    </cfRule>
    <cfRule type="cellIs" dxfId="542" priority="108" operator="lessThan">
      <formula>TODAY()</formula>
    </cfRule>
  </conditionalFormatting>
  <conditionalFormatting sqref="V40">
    <cfRule type="cellIs" dxfId="541" priority="106" operator="equal">
      <formula>"WRONG"</formula>
    </cfRule>
  </conditionalFormatting>
  <conditionalFormatting sqref="AA39">
    <cfRule type="cellIs" dxfId="540" priority="104" operator="lessThan">
      <formula>TODAY()</formula>
    </cfRule>
    <cfRule type="cellIs" dxfId="539" priority="105" operator="lessThan">
      <formula>TODAY()</formula>
    </cfRule>
  </conditionalFormatting>
  <conditionalFormatting sqref="V39">
    <cfRule type="cellIs" dxfId="538" priority="103" operator="equal">
      <formula>"WRONG"</formula>
    </cfRule>
  </conditionalFormatting>
  <conditionalFormatting sqref="AA56">
    <cfRule type="cellIs" dxfId="537" priority="97" operator="lessThan">
      <formula>TODAY()</formula>
    </cfRule>
    <cfRule type="cellIs" dxfId="536" priority="98" operator="lessThan">
      <formula>TODAY()</formula>
    </cfRule>
  </conditionalFormatting>
  <conditionalFormatting sqref="V56">
    <cfRule type="cellIs" dxfId="535" priority="96" operator="equal">
      <formula>"WRONG"</formula>
    </cfRule>
  </conditionalFormatting>
  <conditionalFormatting sqref="AA55">
    <cfRule type="cellIs" dxfId="534" priority="94" operator="lessThan">
      <formula>TODAY()</formula>
    </cfRule>
    <cfRule type="cellIs" dxfId="533" priority="95" operator="lessThan">
      <formula>TODAY()</formula>
    </cfRule>
  </conditionalFormatting>
  <conditionalFormatting sqref="V55">
    <cfRule type="cellIs" dxfId="532" priority="93" operator="equal">
      <formula>"WRONG"</formula>
    </cfRule>
  </conditionalFormatting>
  <conditionalFormatting sqref="AA54">
    <cfRule type="cellIs" dxfId="531" priority="91" operator="lessThan">
      <formula>TODAY()</formula>
    </cfRule>
    <cfRule type="cellIs" dxfId="530" priority="92" operator="lessThan">
      <formula>TODAY()</formula>
    </cfRule>
  </conditionalFormatting>
  <conditionalFormatting sqref="V54">
    <cfRule type="cellIs" dxfId="529" priority="90" operator="equal">
      <formula>"WRONG"</formula>
    </cfRule>
  </conditionalFormatting>
  <conditionalFormatting sqref="AA53">
    <cfRule type="cellIs" dxfId="528" priority="88" operator="lessThan">
      <formula>TODAY()</formula>
    </cfRule>
    <cfRule type="cellIs" dxfId="527" priority="89" operator="lessThan">
      <formula>TODAY()</formula>
    </cfRule>
  </conditionalFormatting>
  <conditionalFormatting sqref="V53">
    <cfRule type="cellIs" dxfId="526" priority="87" operator="equal">
      <formula>"WRONG"</formula>
    </cfRule>
  </conditionalFormatting>
  <conditionalFormatting sqref="AA51:AA52">
    <cfRule type="cellIs" dxfId="525" priority="85" operator="lessThan">
      <formula>TODAY()</formula>
    </cfRule>
    <cfRule type="cellIs" dxfId="524" priority="86" operator="lessThan">
      <formula>TODAY()</formula>
    </cfRule>
  </conditionalFormatting>
  <conditionalFormatting sqref="V51:V52">
    <cfRule type="cellIs" dxfId="523" priority="84" operator="equal">
      <formula>"WRONG"</formula>
    </cfRule>
  </conditionalFormatting>
  <conditionalFormatting sqref="AA50">
    <cfRule type="cellIs" dxfId="522" priority="82" operator="lessThan">
      <formula>TODAY()</formula>
    </cfRule>
    <cfRule type="cellIs" dxfId="521" priority="83" operator="lessThan">
      <formula>TODAY()</formula>
    </cfRule>
  </conditionalFormatting>
  <conditionalFormatting sqref="V50">
    <cfRule type="cellIs" dxfId="520" priority="81" operator="equal">
      <formula>"WRONG"</formula>
    </cfRule>
  </conditionalFormatting>
  <conditionalFormatting sqref="AA49">
    <cfRule type="cellIs" dxfId="519" priority="75" operator="lessThan">
      <formula>TODAY()</formula>
    </cfRule>
    <cfRule type="cellIs" dxfId="518" priority="76" operator="lessThan">
      <formula>TODAY()</formula>
    </cfRule>
  </conditionalFormatting>
  <conditionalFormatting sqref="V49">
    <cfRule type="cellIs" dxfId="517" priority="74" operator="equal">
      <formula>"WRONG"</formula>
    </cfRule>
  </conditionalFormatting>
  <conditionalFormatting sqref="AA22">
    <cfRule type="cellIs" dxfId="516" priority="68" operator="lessThan">
      <formula>TODAY()</formula>
    </cfRule>
    <cfRule type="cellIs" dxfId="515" priority="69" operator="lessThan">
      <formula>TODAY()</formula>
    </cfRule>
  </conditionalFormatting>
  <conditionalFormatting sqref="V22">
    <cfRule type="cellIs" dxfId="514" priority="67" operator="equal">
      <formula>"WRONG"</formula>
    </cfRule>
  </conditionalFormatting>
  <conditionalFormatting sqref="AA21">
    <cfRule type="cellIs" dxfId="513" priority="65" operator="lessThan">
      <formula>TODAY()</formula>
    </cfRule>
    <cfRule type="cellIs" dxfId="512" priority="66" operator="lessThan">
      <formula>TODAY()</formula>
    </cfRule>
  </conditionalFormatting>
  <conditionalFormatting sqref="V21">
    <cfRule type="cellIs" dxfId="511" priority="64" operator="equal">
      <formula>"WRONG"</formula>
    </cfRule>
  </conditionalFormatting>
  <conditionalFormatting sqref="AA48">
    <cfRule type="cellIs" dxfId="510" priority="62" operator="lessThan">
      <formula>TODAY()</formula>
    </cfRule>
    <cfRule type="cellIs" dxfId="509" priority="63" operator="lessThan">
      <formula>TODAY()</formula>
    </cfRule>
  </conditionalFormatting>
  <conditionalFormatting sqref="V48">
    <cfRule type="cellIs" dxfId="508" priority="61" operator="equal">
      <formula>"WRONG"</formula>
    </cfRule>
  </conditionalFormatting>
  <conditionalFormatting sqref="AA47">
    <cfRule type="cellIs" dxfId="507" priority="59" operator="lessThan">
      <formula>TODAY()</formula>
    </cfRule>
    <cfRule type="cellIs" dxfId="506" priority="60" operator="lessThan">
      <formula>TODAY()</formula>
    </cfRule>
  </conditionalFormatting>
  <conditionalFormatting sqref="V47">
    <cfRule type="cellIs" dxfId="505" priority="58" operator="equal">
      <formula>"WRONG"</formula>
    </cfRule>
  </conditionalFormatting>
  <conditionalFormatting sqref="AA46">
    <cfRule type="cellIs" dxfId="504" priority="56" operator="lessThan">
      <formula>TODAY()</formula>
    </cfRule>
    <cfRule type="cellIs" dxfId="503" priority="57" operator="lessThan">
      <formula>TODAY()</formula>
    </cfRule>
  </conditionalFormatting>
  <conditionalFormatting sqref="V46">
    <cfRule type="cellIs" dxfId="502" priority="55" operator="equal">
      <formula>"WRONG"</formula>
    </cfRule>
  </conditionalFormatting>
  <conditionalFormatting sqref="AA45">
    <cfRule type="cellIs" dxfId="501" priority="53" operator="lessThan">
      <formula>TODAY()</formula>
    </cfRule>
    <cfRule type="cellIs" dxfId="500" priority="54" operator="lessThan">
      <formula>TODAY()</formula>
    </cfRule>
  </conditionalFormatting>
  <conditionalFormatting sqref="V45">
    <cfRule type="cellIs" dxfId="499" priority="52" operator="equal">
      <formula>"WRONG"</formula>
    </cfRule>
  </conditionalFormatting>
  <conditionalFormatting sqref="AA76">
    <cfRule type="cellIs" dxfId="498" priority="50" operator="lessThan">
      <formula>TODAY()</formula>
    </cfRule>
    <cfRule type="cellIs" dxfId="497" priority="51" operator="lessThan">
      <formula>TODAY()</formula>
    </cfRule>
  </conditionalFormatting>
  <conditionalFormatting sqref="V76">
    <cfRule type="cellIs" dxfId="496" priority="49" operator="equal">
      <formula>"WRONG"</formula>
    </cfRule>
  </conditionalFormatting>
  <conditionalFormatting sqref="AA75">
    <cfRule type="cellIs" dxfId="495" priority="47" operator="lessThan">
      <formula>TODAY()</formula>
    </cfRule>
    <cfRule type="cellIs" dxfId="494" priority="48" operator="lessThan">
      <formula>TODAY()</formula>
    </cfRule>
  </conditionalFormatting>
  <conditionalFormatting sqref="V75">
    <cfRule type="cellIs" dxfId="493" priority="46" operator="equal">
      <formula>"WRONG"</formula>
    </cfRule>
  </conditionalFormatting>
  <conditionalFormatting sqref="AA74">
    <cfRule type="cellIs" dxfId="492" priority="44" operator="lessThan">
      <formula>TODAY()</formula>
    </cfRule>
    <cfRule type="cellIs" dxfId="491" priority="45" operator="lessThan">
      <formula>TODAY()</formula>
    </cfRule>
  </conditionalFormatting>
  <conditionalFormatting sqref="V74">
    <cfRule type="cellIs" dxfId="490" priority="43" operator="equal">
      <formula>"WRONG"</formula>
    </cfRule>
  </conditionalFormatting>
  <conditionalFormatting sqref="AA73">
    <cfRule type="cellIs" dxfId="489" priority="41" operator="lessThan">
      <formula>TODAY()</formula>
    </cfRule>
    <cfRule type="cellIs" dxfId="488" priority="42" operator="lessThan">
      <formula>TODAY()</formula>
    </cfRule>
  </conditionalFormatting>
  <conditionalFormatting sqref="V73">
    <cfRule type="cellIs" dxfId="487" priority="40" operator="equal">
      <formula>"WRONG"</formula>
    </cfRule>
  </conditionalFormatting>
  <conditionalFormatting sqref="AA72">
    <cfRule type="cellIs" dxfId="486" priority="38" operator="lessThan">
      <formula>TODAY()</formula>
    </cfRule>
    <cfRule type="cellIs" dxfId="485" priority="39" operator="lessThan">
      <formula>TODAY()</formula>
    </cfRule>
  </conditionalFormatting>
  <conditionalFormatting sqref="V72">
    <cfRule type="cellIs" dxfId="484" priority="37" operator="equal">
      <formula>"WRONG"</formula>
    </cfRule>
  </conditionalFormatting>
  <conditionalFormatting sqref="AA71">
    <cfRule type="cellIs" dxfId="483" priority="35" operator="lessThan">
      <formula>TODAY()</formula>
    </cfRule>
    <cfRule type="cellIs" dxfId="482" priority="36" operator="lessThan">
      <formula>TODAY()</formula>
    </cfRule>
  </conditionalFormatting>
  <conditionalFormatting sqref="V71">
    <cfRule type="cellIs" dxfId="481" priority="34" operator="equal">
      <formula>"WRONG"</formula>
    </cfRule>
  </conditionalFormatting>
  <conditionalFormatting sqref="AA70">
    <cfRule type="cellIs" dxfId="480" priority="32" operator="lessThan">
      <formula>TODAY()</formula>
    </cfRule>
    <cfRule type="cellIs" dxfId="479" priority="33" operator="lessThan">
      <formula>TODAY()</formula>
    </cfRule>
  </conditionalFormatting>
  <conditionalFormatting sqref="V70">
    <cfRule type="cellIs" dxfId="478" priority="31" operator="equal">
      <formula>"WRONG"</formula>
    </cfRule>
  </conditionalFormatting>
  <conditionalFormatting sqref="AA69">
    <cfRule type="cellIs" dxfId="477" priority="29" operator="lessThan">
      <formula>TODAY()</formula>
    </cfRule>
    <cfRule type="cellIs" dxfId="476" priority="30" operator="lessThan">
      <formula>TODAY()</formula>
    </cfRule>
  </conditionalFormatting>
  <conditionalFormatting sqref="V69">
    <cfRule type="cellIs" dxfId="475" priority="28" operator="equal">
      <formula>"WRONG"</formula>
    </cfRule>
  </conditionalFormatting>
  <conditionalFormatting sqref="AA68">
    <cfRule type="cellIs" dxfId="474" priority="26" operator="lessThan">
      <formula>TODAY()</formula>
    </cfRule>
    <cfRule type="cellIs" dxfId="473" priority="27" operator="lessThan">
      <formula>TODAY()</formula>
    </cfRule>
  </conditionalFormatting>
  <conditionalFormatting sqref="V68">
    <cfRule type="cellIs" dxfId="472" priority="25" operator="equal">
      <formula>"WRONG"</formula>
    </cfRule>
  </conditionalFormatting>
  <conditionalFormatting sqref="AA67">
    <cfRule type="cellIs" dxfId="471" priority="23" operator="lessThan">
      <formula>TODAY()</formula>
    </cfRule>
    <cfRule type="cellIs" dxfId="470" priority="24" operator="lessThan">
      <formula>TODAY()</formula>
    </cfRule>
  </conditionalFormatting>
  <conditionalFormatting sqref="V67">
    <cfRule type="cellIs" dxfId="469" priority="22" operator="equal">
      <formula>"WRONG"</formula>
    </cfRule>
  </conditionalFormatting>
  <conditionalFormatting sqref="AA66">
    <cfRule type="cellIs" dxfId="468" priority="20" operator="lessThan">
      <formula>TODAY()</formula>
    </cfRule>
    <cfRule type="cellIs" dxfId="467" priority="21" operator="lessThan">
      <formula>TODAY()</formula>
    </cfRule>
  </conditionalFormatting>
  <conditionalFormatting sqref="V66">
    <cfRule type="cellIs" dxfId="466" priority="19" operator="equal">
      <formula>"WRONG"</formula>
    </cfRule>
  </conditionalFormatting>
  <conditionalFormatting sqref="AA63">
    <cfRule type="cellIs" dxfId="465" priority="17" operator="lessThan">
      <formula>TODAY()</formula>
    </cfRule>
    <cfRule type="cellIs" dxfId="464" priority="18" operator="lessThan">
      <formula>TODAY()</formula>
    </cfRule>
  </conditionalFormatting>
  <conditionalFormatting sqref="V63">
    <cfRule type="cellIs" dxfId="463" priority="16" operator="equal">
      <formula>"WRONG"</formula>
    </cfRule>
  </conditionalFormatting>
  <conditionalFormatting sqref="AA62">
    <cfRule type="cellIs" dxfId="462" priority="14" operator="lessThan">
      <formula>TODAY()</formula>
    </cfRule>
    <cfRule type="cellIs" dxfId="461" priority="15" operator="lessThan">
      <formula>TODAY()</formula>
    </cfRule>
  </conditionalFormatting>
  <conditionalFormatting sqref="V62">
    <cfRule type="cellIs" dxfId="460" priority="13" operator="equal">
      <formula>"WRONG"</formula>
    </cfRule>
  </conditionalFormatting>
  <conditionalFormatting sqref="AA61">
    <cfRule type="cellIs" dxfId="459" priority="11" operator="lessThan">
      <formula>TODAY()</formula>
    </cfRule>
    <cfRule type="cellIs" dxfId="458" priority="12" operator="lessThan">
      <formula>TODAY()</formula>
    </cfRule>
  </conditionalFormatting>
  <conditionalFormatting sqref="V61">
    <cfRule type="cellIs" dxfId="457" priority="10" operator="equal">
      <formula>"WRONG"</formula>
    </cfRule>
  </conditionalFormatting>
  <conditionalFormatting sqref="AA65">
    <cfRule type="cellIs" dxfId="456" priority="8" operator="lessThan">
      <formula>TODAY()</formula>
    </cfRule>
    <cfRule type="cellIs" dxfId="455" priority="9" operator="lessThan">
      <formula>TODAY()</formula>
    </cfRule>
  </conditionalFormatting>
  <conditionalFormatting sqref="V65">
    <cfRule type="cellIs" dxfId="454" priority="7" operator="equal">
      <formula>"WRONG"</formula>
    </cfRule>
  </conditionalFormatting>
  <conditionalFormatting sqref="AA64">
    <cfRule type="cellIs" dxfId="453" priority="5" operator="lessThan">
      <formula>TODAY()</formula>
    </cfRule>
    <cfRule type="cellIs" dxfId="452" priority="6" operator="lessThan">
      <formula>TODAY()</formula>
    </cfRule>
  </conditionalFormatting>
  <conditionalFormatting sqref="V64">
    <cfRule type="cellIs" dxfId="451" priority="4" operator="equal">
      <formula>"WRONG"</formula>
    </cfRule>
  </conditionalFormatting>
  <conditionalFormatting sqref="AA60:AA63">
    <cfRule type="cellIs" dxfId="450" priority="2" operator="lessThan">
      <formula>TODAY()</formula>
    </cfRule>
    <cfRule type="cellIs" dxfId="449" priority="3" operator="lessThan">
      <formula>TODAY()</formula>
    </cfRule>
  </conditionalFormatting>
  <conditionalFormatting sqref="V60:V63">
    <cfRule type="cellIs" dxfId="448" priority="1" operator="equal">
      <formula>"WRONG"</formula>
    </cfRule>
  </conditionalFormatting>
  <conditionalFormatting sqref="A1:A1048576">
    <cfRule type="duplicateValues" dxfId="447" priority="6763"/>
    <cfRule type="duplicateValues" dxfId="446" priority="6764"/>
  </conditionalFormatting>
  <conditionalFormatting sqref="A1:A1048576">
    <cfRule type="duplicateValues" dxfId="445" priority="6769"/>
  </conditionalFormatting>
  <conditionalFormatting sqref="A1:A1048576">
    <cfRule type="duplicateValues" dxfId="444" priority="6772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100-000008000000}">
          <x14:formula1>
            <xm:f>'Data pick slip'!$B$2:$B$62</xm:f>
          </x14:formula1>
          <xm:sqref>F1:F1048576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AF1:AF1048576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H1:H1048576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G2:G1048576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512" activePane="bottomLeft" state="frozen"/>
      <selection activeCell="D1475" sqref="D1475"/>
      <selection pane="bottomLeft" activeCell="L592" sqref="L592"/>
    </sheetView>
  </sheetViews>
  <sheetFormatPr defaultColWidth="9" defaultRowHeight="13.8"/>
  <cols>
    <col min="1" max="1" width="12.21875" style="252" customWidth="1"/>
    <col min="2" max="2" width="14.21875" style="252" customWidth="1"/>
    <col min="3" max="3" width="12.21875" style="156" customWidth="1"/>
    <col min="4" max="4" width="13.77734375" style="206" customWidth="1"/>
    <col min="5" max="5" width="16.21875" style="160" customWidth="1"/>
    <col min="6" max="6" width="10.77734375" style="157" customWidth="1"/>
    <col min="7" max="7" width="6.21875" style="132" customWidth="1"/>
    <col min="8" max="8" width="5.21875" style="138" customWidth="1"/>
    <col min="9" max="9" width="24" style="140" bestFit="1" customWidth="1"/>
    <col min="10" max="10" width="19" style="139" customWidth="1"/>
    <col min="11" max="11" width="6.21875" style="140" customWidth="1"/>
    <col min="12" max="12" width="10.21875" style="141" customWidth="1"/>
    <col min="13" max="13" width="5.21875" style="140" customWidth="1"/>
    <col min="14" max="14" width="6.21875" style="132" customWidth="1"/>
    <col min="15" max="15" width="5" style="132" customWidth="1"/>
    <col min="16" max="16" width="9.77734375" style="142" customWidth="1"/>
    <col min="17" max="17" width="9.77734375" style="132" customWidth="1"/>
    <col min="18" max="18" width="9.77734375" style="134" customWidth="1"/>
    <col min="19" max="19" width="16.44140625" style="123" customWidth="1"/>
    <col min="20" max="20" width="24.777343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166</v>
      </c>
      <c r="B1" s="99" t="s">
        <v>245</v>
      </c>
      <c r="C1" s="100" t="s">
        <v>246</v>
      </c>
      <c r="D1" s="100" t="s">
        <v>193</v>
      </c>
      <c r="E1" s="101" t="s">
        <v>247</v>
      </c>
      <c r="F1" s="102" t="s">
        <v>196</v>
      </c>
      <c r="G1" s="100" t="s">
        <v>248</v>
      </c>
      <c r="H1" s="103" t="s">
        <v>249</v>
      </c>
      <c r="I1" s="105" t="s">
        <v>250</v>
      </c>
      <c r="J1" s="104" t="s">
        <v>251</v>
      </c>
      <c r="K1" s="105" t="s">
        <v>201</v>
      </c>
      <c r="L1" s="106" t="s">
        <v>252</v>
      </c>
      <c r="M1" s="106" t="s">
        <v>253</v>
      </c>
      <c r="N1" s="103" t="s">
        <v>254</v>
      </c>
      <c r="O1" s="103" t="s">
        <v>255</v>
      </c>
      <c r="P1" s="107" t="s">
        <v>256</v>
      </c>
      <c r="Q1" s="103" t="s">
        <v>257</v>
      </c>
      <c r="R1" s="108" t="s">
        <v>258</v>
      </c>
      <c r="S1" s="109" t="s">
        <v>259</v>
      </c>
      <c r="T1" s="110" t="s">
        <v>260</v>
      </c>
      <c r="U1" s="111"/>
    </row>
    <row r="2" spans="1:21" ht="15" customHeight="1">
      <c r="A2" s="181" t="s">
        <v>261</v>
      </c>
      <c r="B2" s="114" t="str">
        <f>VLOOKUP(A2,'Data pick slip'!B:F,5,FALSE)</f>
        <v>KHJ-MC100-00</v>
      </c>
      <c r="C2" s="169" t="s">
        <v>262</v>
      </c>
      <c r="D2" s="312" t="s">
        <v>263</v>
      </c>
      <c r="E2" s="282" t="s">
        <v>262</v>
      </c>
      <c r="F2" s="170" t="s">
        <v>227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264</v>
      </c>
      <c r="B3" s="114" t="str">
        <f>VLOOKUP(A3,'Data pick slip'!B:F,5,FALSE)</f>
        <v>KHJ-MC200-00</v>
      </c>
      <c r="C3" s="169" t="s">
        <v>262</v>
      </c>
      <c r="D3" s="312" t="s">
        <v>263</v>
      </c>
      <c r="E3" s="282" t="s">
        <v>262</v>
      </c>
      <c r="F3" s="170" t="s">
        <v>227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265</v>
      </c>
      <c r="B4" s="114" t="str">
        <f>VLOOKUP(A4,'Data pick slip'!B:F,5,FALSE)</f>
        <v>KHJ-MC400-00</v>
      </c>
      <c r="C4" s="169" t="s">
        <v>262</v>
      </c>
      <c r="D4" s="312" t="s">
        <v>263</v>
      </c>
      <c r="E4" s="282" t="s">
        <v>262</v>
      </c>
      <c r="F4" s="170" t="s">
        <v>227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266</v>
      </c>
      <c r="B5" s="114" t="str">
        <f>VLOOKUP(A5,'Data pick slip'!B:F,5,FALSE)</f>
        <v>KHJ-MC500-00</v>
      </c>
      <c r="C5" s="169" t="s">
        <v>262</v>
      </c>
      <c r="D5" s="312" t="s">
        <v>263</v>
      </c>
      <c r="E5" s="282" t="s">
        <v>262</v>
      </c>
      <c r="F5" s="170" t="s">
        <v>227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267</v>
      </c>
      <c r="B6" s="114" t="str">
        <f>VLOOKUP(A6,'Data pick slip'!B:F,5,FALSE)</f>
        <v>KHJ-MC600-00</v>
      </c>
      <c r="C6" s="169" t="s">
        <v>262</v>
      </c>
      <c r="D6" s="312" t="s">
        <v>263</v>
      </c>
      <c r="E6" s="282" t="s">
        <v>262</v>
      </c>
      <c r="F6" s="170" t="s">
        <v>227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268</v>
      </c>
      <c r="B7" s="114" t="str">
        <f>VLOOKUP(A7,'Data pick slip'!B:F,5,FALSE)</f>
        <v>KHJ-MC700-00</v>
      </c>
      <c r="C7" s="169" t="s">
        <v>262</v>
      </c>
      <c r="D7" s="312" t="s">
        <v>263</v>
      </c>
      <c r="E7" s="282" t="s">
        <v>262</v>
      </c>
      <c r="F7" s="170" t="s">
        <v>227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269</v>
      </c>
      <c r="B8" s="114" t="str">
        <f>VLOOKUP(A8,'Data pick slip'!B:F,5,FALSE)</f>
        <v>KHJ-MC800-00</v>
      </c>
      <c r="C8" s="169" t="s">
        <v>262</v>
      </c>
      <c r="D8" s="312" t="s">
        <v>263</v>
      </c>
      <c r="E8" s="282" t="s">
        <v>262</v>
      </c>
      <c r="F8" s="170" t="s">
        <v>227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261</v>
      </c>
      <c r="B9" s="114" t="str">
        <f>VLOOKUP(A9,'Data pick slip'!B:F,5,FALSE)</f>
        <v>KHJ-MC100-00</v>
      </c>
      <c r="C9" s="169" t="s">
        <v>262</v>
      </c>
      <c r="D9" s="312" t="s">
        <v>263</v>
      </c>
      <c r="E9" s="282" t="s">
        <v>262</v>
      </c>
      <c r="F9" s="170" t="s">
        <v>270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264</v>
      </c>
      <c r="B10" s="114" t="str">
        <f>VLOOKUP(A10,'Data pick slip'!B:F,5,FALSE)</f>
        <v>KHJ-MC200-00</v>
      </c>
      <c r="C10" s="169" t="s">
        <v>262</v>
      </c>
      <c r="D10" s="312" t="s">
        <v>263</v>
      </c>
      <c r="E10" s="282" t="s">
        <v>262</v>
      </c>
      <c r="F10" s="170" t="s">
        <v>270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265</v>
      </c>
      <c r="B11" s="114" t="str">
        <f>VLOOKUP(A11,'Data pick slip'!B:F,5,FALSE)</f>
        <v>KHJ-MC400-00</v>
      </c>
      <c r="C11" s="169" t="s">
        <v>262</v>
      </c>
      <c r="D11" s="312" t="s">
        <v>263</v>
      </c>
      <c r="E11" s="282" t="s">
        <v>262</v>
      </c>
      <c r="F11" s="170" t="s">
        <v>270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266</v>
      </c>
      <c r="B12" s="114" t="str">
        <f>VLOOKUP(A12,'Data pick slip'!B:F,5,FALSE)</f>
        <v>KHJ-MC500-00</v>
      </c>
      <c r="C12" s="169" t="s">
        <v>262</v>
      </c>
      <c r="D12" s="312" t="s">
        <v>263</v>
      </c>
      <c r="E12" s="282" t="s">
        <v>262</v>
      </c>
      <c r="F12" s="170" t="s">
        <v>270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267</v>
      </c>
      <c r="B13" s="114" t="str">
        <f>VLOOKUP(A13,'Data pick slip'!B:F,5,FALSE)</f>
        <v>KHJ-MC600-00</v>
      </c>
      <c r="C13" s="169" t="s">
        <v>262</v>
      </c>
      <c r="D13" s="312" t="s">
        <v>263</v>
      </c>
      <c r="E13" s="282" t="s">
        <v>262</v>
      </c>
      <c r="F13" s="170" t="s">
        <v>270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268</v>
      </c>
      <c r="B14" s="114" t="str">
        <f>VLOOKUP(A14,'Data pick slip'!B:F,5,FALSE)</f>
        <v>KHJ-MC700-00</v>
      </c>
      <c r="C14" s="169" t="s">
        <v>262</v>
      </c>
      <c r="D14" s="312" t="s">
        <v>263</v>
      </c>
      <c r="E14" s="282" t="s">
        <v>262</v>
      </c>
      <c r="F14" s="170" t="s">
        <v>270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269</v>
      </c>
      <c r="B15" s="114" t="str">
        <f>VLOOKUP(A15,'Data pick slip'!B:F,5,FALSE)</f>
        <v>KHJ-MC800-00</v>
      </c>
      <c r="C15" s="169" t="s">
        <v>262</v>
      </c>
      <c r="D15" s="312" t="s">
        <v>263</v>
      </c>
      <c r="E15" s="282" t="s">
        <v>262</v>
      </c>
      <c r="F15" s="170" t="s">
        <v>270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271</v>
      </c>
      <c r="B16" s="114" t="str">
        <f>VLOOKUP(A16,'Data pick slip'!B:F,5,FALSE)</f>
        <v>KLJ-MCN00-20</v>
      </c>
      <c r="C16" s="169" t="s">
        <v>262</v>
      </c>
      <c r="D16" s="312" t="s">
        <v>263</v>
      </c>
      <c r="E16" s="282" t="s">
        <v>262</v>
      </c>
      <c r="F16" s="170" t="s">
        <v>227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272</v>
      </c>
      <c r="B17" s="114" t="str">
        <f>VLOOKUP(A17,'Data pick slip'!B:F,5,FALSE)</f>
        <v>KLJ-MC100-00</v>
      </c>
      <c r="C17" s="169" t="s">
        <v>262</v>
      </c>
      <c r="D17" s="312" t="s">
        <v>263</v>
      </c>
      <c r="E17" s="282" t="s">
        <v>262</v>
      </c>
      <c r="F17" s="170" t="s">
        <v>227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273</v>
      </c>
      <c r="B18" s="114" t="str">
        <f>VLOOKUP(A18,'Data pick slip'!B:F,5,FALSE)</f>
        <v>KLJ-MC200-00</v>
      </c>
      <c r="C18" s="169" t="s">
        <v>262</v>
      </c>
      <c r="D18" s="312" t="s">
        <v>263</v>
      </c>
      <c r="E18" s="282" t="s">
        <v>262</v>
      </c>
      <c r="F18" s="170" t="s">
        <v>227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274</v>
      </c>
      <c r="B19" s="114" t="str">
        <f>VLOOKUP(A19,'Data pick slip'!B:F,5,FALSE)</f>
        <v>KLJ-MC400-00</v>
      </c>
      <c r="C19" s="169" t="s">
        <v>262</v>
      </c>
      <c r="D19" s="312" t="s">
        <v>263</v>
      </c>
      <c r="E19" s="282" t="s">
        <v>262</v>
      </c>
      <c r="F19" s="170" t="s">
        <v>227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</v>
      </c>
      <c r="B20" s="114" t="str">
        <f>VLOOKUP(A20,'Data pick slip'!B:F,5,FALSE)</f>
        <v>KLJ-MC500-00</v>
      </c>
      <c r="C20" s="169" t="s">
        <v>262</v>
      </c>
      <c r="D20" s="312" t="s">
        <v>263</v>
      </c>
      <c r="E20" s="282" t="s">
        <v>262</v>
      </c>
      <c r="F20" s="170" t="s">
        <v>227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276</v>
      </c>
      <c r="B21" s="114" t="str">
        <f>VLOOKUP(A21,'Data pick slip'!B:F,5,FALSE)</f>
        <v>KLJ-MC600-00</v>
      </c>
      <c r="C21" s="169" t="s">
        <v>262</v>
      </c>
      <c r="D21" s="312" t="s">
        <v>263</v>
      </c>
      <c r="E21" s="282" t="s">
        <v>262</v>
      </c>
      <c r="F21" s="170" t="s">
        <v>227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277</v>
      </c>
      <c r="B22" s="114" t="str">
        <f>VLOOKUP(A22,'Data pick slip'!B:F,5,FALSE)</f>
        <v>KLJ-MC700-00</v>
      </c>
      <c r="C22" s="169" t="s">
        <v>262</v>
      </c>
      <c r="D22" s="312" t="s">
        <v>263</v>
      </c>
      <c r="E22" s="282" t="s">
        <v>262</v>
      </c>
      <c r="F22" s="170" t="s">
        <v>227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271</v>
      </c>
      <c r="B23" s="114" t="str">
        <f>VLOOKUP(A23,'Data pick slip'!B:F,5,FALSE)</f>
        <v>KLJ-MCN00-20</v>
      </c>
      <c r="C23" s="169" t="s">
        <v>262</v>
      </c>
      <c r="D23" s="312" t="s">
        <v>263</v>
      </c>
      <c r="E23" s="282" t="s">
        <v>262</v>
      </c>
      <c r="F23" s="170" t="s">
        <v>270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272</v>
      </c>
      <c r="B24" s="114" t="str">
        <f>VLOOKUP(A24,'Data pick slip'!B:F,5,FALSE)</f>
        <v>KLJ-MC100-00</v>
      </c>
      <c r="C24" s="169" t="s">
        <v>262</v>
      </c>
      <c r="D24" s="312" t="s">
        <v>263</v>
      </c>
      <c r="E24" s="282" t="s">
        <v>262</v>
      </c>
      <c r="F24" s="170" t="s">
        <v>270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273</v>
      </c>
      <c r="B25" s="114" t="str">
        <f>VLOOKUP(A25,'Data pick slip'!B:F,5,FALSE)</f>
        <v>KLJ-MC200-00</v>
      </c>
      <c r="C25" s="169" t="s">
        <v>262</v>
      </c>
      <c r="D25" s="312" t="s">
        <v>263</v>
      </c>
      <c r="E25" s="282" t="s">
        <v>262</v>
      </c>
      <c r="F25" s="170" t="s">
        <v>270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274</v>
      </c>
      <c r="B26" s="114" t="str">
        <f>VLOOKUP(A26,'Data pick slip'!B:F,5,FALSE)</f>
        <v>KLJ-MC400-00</v>
      </c>
      <c r="C26" s="169" t="s">
        <v>262</v>
      </c>
      <c r="D26" s="312" t="s">
        <v>263</v>
      </c>
      <c r="E26" s="282" t="s">
        <v>262</v>
      </c>
      <c r="F26" s="170" t="s">
        <v>270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</v>
      </c>
      <c r="B27" s="114" t="str">
        <f>VLOOKUP(A27,'Data pick slip'!B:F,5,FALSE)</f>
        <v>KLJ-MC500-00</v>
      </c>
      <c r="C27" s="169" t="s">
        <v>262</v>
      </c>
      <c r="D27" s="312" t="s">
        <v>263</v>
      </c>
      <c r="E27" s="282" t="s">
        <v>262</v>
      </c>
      <c r="F27" s="170" t="s">
        <v>270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276</v>
      </c>
      <c r="B28" s="114" t="str">
        <f>VLOOKUP(A28,'Data pick slip'!B:F,5,FALSE)</f>
        <v>KLJ-MC600-00</v>
      </c>
      <c r="C28" s="169" t="s">
        <v>262</v>
      </c>
      <c r="D28" s="312" t="s">
        <v>263</v>
      </c>
      <c r="E28" s="282" t="s">
        <v>262</v>
      </c>
      <c r="F28" s="170" t="s">
        <v>270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277</v>
      </c>
      <c r="B29" s="114" t="str">
        <f>VLOOKUP(A29,'Data pick slip'!B:F,5,FALSE)</f>
        <v>KLJ-MC700-00</v>
      </c>
      <c r="C29" s="169" t="s">
        <v>262</v>
      </c>
      <c r="D29" s="312" t="s">
        <v>263</v>
      </c>
      <c r="E29" s="282" t="s">
        <v>262</v>
      </c>
      <c r="F29" s="170" t="s">
        <v>270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278</v>
      </c>
      <c r="B30" s="114" t="str">
        <f>VLOOKUP(A30,'Data pick slip'!B:F,5,FALSE)</f>
        <v>KLJ-MC800-00</v>
      </c>
      <c r="C30" s="169">
        <v>111247</v>
      </c>
      <c r="D30" s="169" t="e">
        <f>VLOOKUP(C30,Stock_list!D:L,2,FALSE)</f>
        <v>#N/A</v>
      </c>
      <c r="E30" s="282" t="e">
        <f>VLOOKUP(C30,Stock_list!D:L,9,FALSE)</f>
        <v>#N/A</v>
      </c>
      <c r="F30" s="170" t="s">
        <v>270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261</v>
      </c>
      <c r="B31" s="114" t="str">
        <f>VLOOKUP(A31,'Data pick slip'!B:F,5,FALSE)</f>
        <v>KHJ-MC100-00</v>
      </c>
      <c r="C31" s="169"/>
      <c r="D31" s="169"/>
      <c r="E31" s="282" t="s">
        <v>1377</v>
      </c>
      <c r="F31" s="170" t="s">
        <v>270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264</v>
      </c>
      <c r="B32" s="114" t="str">
        <f>VLOOKUP(A32,'Data pick slip'!B:F,5,FALSE)</f>
        <v>KHJ-MC200-00</v>
      </c>
      <c r="C32" s="169"/>
      <c r="D32" s="169"/>
      <c r="E32" s="282" t="s">
        <v>1377</v>
      </c>
      <c r="F32" s="170" t="s">
        <v>270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267</v>
      </c>
      <c r="B33" s="114" t="str">
        <f>VLOOKUP(A33,'Data pick slip'!B:F,5,FALSE)</f>
        <v>KHJ-MC600-00</v>
      </c>
      <c r="C33" s="169"/>
      <c r="D33" s="169"/>
      <c r="E33" s="282" t="s">
        <v>1377</v>
      </c>
      <c r="F33" s="170" t="s">
        <v>270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261</v>
      </c>
      <c r="B34" s="114" t="str">
        <f>VLOOKUP(A34,'Data pick slip'!B:F,5,FALSE)</f>
        <v>KHJ-MC100-00</v>
      </c>
      <c r="C34" s="169"/>
      <c r="D34" s="169"/>
      <c r="E34" s="282" t="s">
        <v>1413</v>
      </c>
      <c r="F34" s="170" t="s">
        <v>270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264</v>
      </c>
      <c r="B35" s="114" t="str">
        <f>VLOOKUP(A35,'Data pick slip'!B:F,5,FALSE)</f>
        <v>KHJ-MC200-00</v>
      </c>
      <c r="C35" s="169"/>
      <c r="D35" s="169"/>
      <c r="E35" s="282" t="s">
        <v>1413</v>
      </c>
      <c r="F35" s="170" t="s">
        <v>270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265</v>
      </c>
      <c r="B36" s="114" t="str">
        <f>VLOOKUP(A36,'Data pick slip'!B:F,5,FALSE)</f>
        <v>KHJ-MC400-00</v>
      </c>
      <c r="C36" s="169"/>
      <c r="D36" s="169"/>
      <c r="E36" s="282" t="s">
        <v>1413</v>
      </c>
      <c r="F36" s="170" t="s">
        <v>270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266</v>
      </c>
      <c r="B37" s="114" t="str">
        <f>VLOOKUP(A37,'Data pick slip'!B:F,5,FALSE)</f>
        <v>KHJ-MC500-00</v>
      </c>
      <c r="C37" s="169"/>
      <c r="D37" s="169"/>
      <c r="E37" s="282" t="s">
        <v>1413</v>
      </c>
      <c r="F37" s="170" t="s">
        <v>270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261</v>
      </c>
      <c r="B38" s="114" t="str">
        <f>VLOOKUP(A38,'Data pick slip'!B:F,5,FALSE)</f>
        <v>KHJ-MC100-00</v>
      </c>
      <c r="C38" s="169"/>
      <c r="D38" s="169"/>
      <c r="E38" s="282" t="s">
        <v>1426</v>
      </c>
      <c r="F38" s="170" t="s">
        <v>270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264</v>
      </c>
      <c r="B39" s="114" t="str">
        <f>VLOOKUP(A39,'Data pick slip'!B:F,5,FALSE)</f>
        <v>KHJ-MC200-00</v>
      </c>
      <c r="C39" s="169"/>
      <c r="D39" s="169"/>
      <c r="E39" s="282" t="s">
        <v>1426</v>
      </c>
      <c r="F39" s="170" t="s">
        <v>270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265</v>
      </c>
      <c r="B40" s="114" t="str">
        <f>VLOOKUP(A40,'Data pick slip'!B:F,5,FALSE)</f>
        <v>KHJ-MC400-00</v>
      </c>
      <c r="C40" s="169"/>
      <c r="D40" s="169"/>
      <c r="E40" s="282" t="s">
        <v>1426</v>
      </c>
      <c r="F40" s="170" t="s">
        <v>270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266</v>
      </c>
      <c r="B41" s="114" t="str">
        <f>VLOOKUP(A41,'Data pick slip'!B:F,5,FALSE)</f>
        <v>KHJ-MC500-00</v>
      </c>
      <c r="C41" s="169"/>
      <c r="D41" s="169"/>
      <c r="E41" s="282" t="s">
        <v>1426</v>
      </c>
      <c r="F41" s="170" t="s">
        <v>270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261</v>
      </c>
      <c r="B42" s="114" t="str">
        <f>VLOOKUP(A42,'Data pick slip'!B:F,5,FALSE)</f>
        <v>KHJ-MC100-00</v>
      </c>
      <c r="E42" s="282" t="s">
        <v>1435</v>
      </c>
      <c r="F42" s="170" t="s">
        <v>270</v>
      </c>
      <c r="G42" s="171">
        <v>200</v>
      </c>
      <c r="I42" s="390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272</v>
      </c>
      <c r="B43" s="114" t="str">
        <f>VLOOKUP(A43,'Data pick slip'!B:F,5,FALSE)</f>
        <v>KLJ-MC100-00</v>
      </c>
      <c r="E43" s="282" t="s">
        <v>1435</v>
      </c>
      <c r="F43" s="170" t="s">
        <v>270</v>
      </c>
      <c r="G43" s="171">
        <v>200</v>
      </c>
      <c r="I43" s="390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264</v>
      </c>
      <c r="B44" s="114" t="str">
        <f>VLOOKUP(A44,'Data pick slip'!B:F,5,FALSE)</f>
        <v>KHJ-MC200-00</v>
      </c>
      <c r="E44" s="282" t="s">
        <v>1435</v>
      </c>
      <c r="F44" s="170" t="s">
        <v>270</v>
      </c>
      <c r="G44" s="171">
        <v>50</v>
      </c>
      <c r="I44" s="390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271</v>
      </c>
      <c r="B45" s="114" t="str">
        <f>VLOOKUP(A45,'Data pick slip'!B:F,5,FALSE)</f>
        <v>KLJ-MCN00-20</v>
      </c>
      <c r="E45" s="282" t="s">
        <v>1436</v>
      </c>
      <c r="F45" s="170" t="s">
        <v>270</v>
      </c>
      <c r="G45" s="171">
        <v>1</v>
      </c>
      <c r="I45" s="390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261</v>
      </c>
      <c r="B46" s="114" t="str">
        <f>VLOOKUP(A46,'Data pick slip'!B:F,5,FALSE)</f>
        <v>KHJ-MC100-00</v>
      </c>
      <c r="E46" s="282" t="s">
        <v>1436</v>
      </c>
      <c r="F46" s="170" t="s">
        <v>270</v>
      </c>
      <c r="G46" s="171">
        <v>370</v>
      </c>
      <c r="I46" s="390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272</v>
      </c>
      <c r="B47" s="114" t="str">
        <f>VLOOKUP(A47,'Data pick slip'!B:F,5,FALSE)</f>
        <v>KLJ-MC100-00</v>
      </c>
      <c r="E47" s="282" t="s">
        <v>1436</v>
      </c>
      <c r="F47" s="170" t="s">
        <v>270</v>
      </c>
      <c r="G47" s="171">
        <v>60</v>
      </c>
      <c r="I47" s="390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264</v>
      </c>
      <c r="B48" s="114" t="str">
        <f>VLOOKUP(A48,'Data pick slip'!B:F,5,FALSE)</f>
        <v>KHJ-MC200-00</v>
      </c>
      <c r="E48" s="282" t="s">
        <v>1436</v>
      </c>
      <c r="F48" s="170" t="s">
        <v>270</v>
      </c>
      <c r="G48" s="171">
        <v>119</v>
      </c>
      <c r="I48" s="390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261</v>
      </c>
      <c r="B49" s="114" t="str">
        <f>VLOOKUP(A49,'Data pick slip'!B:F,5,FALSE)</f>
        <v>KHJ-MC100-00</v>
      </c>
      <c r="C49" s="169"/>
      <c r="D49" s="169" t="s">
        <v>1447</v>
      </c>
      <c r="E49" s="169" t="s">
        <v>1447</v>
      </c>
      <c r="F49" s="170" t="s">
        <v>270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264</v>
      </c>
      <c r="B50" s="114" t="str">
        <f>VLOOKUP(A50,'Data pick slip'!B:F,5,FALSE)</f>
        <v>KHJ-MC200-00</v>
      </c>
      <c r="C50" s="169"/>
      <c r="D50" s="169" t="s">
        <v>1447</v>
      </c>
      <c r="E50" s="169" t="s">
        <v>1447</v>
      </c>
      <c r="F50" s="170" t="s">
        <v>270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265</v>
      </c>
      <c r="B51" s="114" t="str">
        <f>VLOOKUP(A51,'Data pick slip'!B:F,5,FALSE)</f>
        <v>KHJ-MC400-00</v>
      </c>
      <c r="C51" s="169"/>
      <c r="D51" s="169" t="s">
        <v>1447</v>
      </c>
      <c r="E51" s="169" t="s">
        <v>1447</v>
      </c>
      <c r="F51" s="170" t="s">
        <v>270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267</v>
      </c>
      <c r="B52" s="114" t="str">
        <f>VLOOKUP(A52,'Data pick slip'!B:F,5,FALSE)</f>
        <v>KHJ-MC600-00</v>
      </c>
      <c r="C52" s="169"/>
      <c r="D52" s="169" t="s">
        <v>1447</v>
      </c>
      <c r="E52" s="169" t="s">
        <v>1447</v>
      </c>
      <c r="F52" s="170" t="s">
        <v>270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268</v>
      </c>
      <c r="B53" s="114" t="str">
        <f>VLOOKUP(A53,'Data pick slip'!B:F,5,FALSE)</f>
        <v>KHJ-MC700-00</v>
      </c>
      <c r="C53" s="169"/>
      <c r="D53" s="169" t="s">
        <v>1447</v>
      </c>
      <c r="E53" s="169" t="s">
        <v>1447</v>
      </c>
      <c r="F53" s="170" t="s">
        <v>270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273</v>
      </c>
      <c r="B54" s="114" t="str">
        <f>VLOOKUP(A54,'Data pick slip'!B:F,5,FALSE)</f>
        <v>KLJ-MC200-00</v>
      </c>
      <c r="C54" s="169"/>
      <c r="D54" s="169" t="s">
        <v>1447</v>
      </c>
      <c r="E54" s="169" t="s">
        <v>1447</v>
      </c>
      <c r="F54" s="170" t="s">
        <v>270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261</v>
      </c>
      <c r="B55" s="114" t="s">
        <v>280</v>
      </c>
      <c r="C55" s="169"/>
      <c r="D55" s="169"/>
      <c r="E55" s="282" t="s">
        <v>1468</v>
      </c>
      <c r="F55" s="170" t="s">
        <v>270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264</v>
      </c>
      <c r="B56" s="114" t="s">
        <v>281</v>
      </c>
      <c r="C56" s="169"/>
      <c r="D56" s="169"/>
      <c r="E56" s="282" t="s">
        <v>1468</v>
      </c>
      <c r="F56" s="170" t="s">
        <v>270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265</v>
      </c>
      <c r="B57" s="114" t="s">
        <v>282</v>
      </c>
      <c r="C57" s="169"/>
      <c r="D57" s="169"/>
      <c r="E57" s="282" t="s">
        <v>1468</v>
      </c>
      <c r="F57" s="170" t="s">
        <v>270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266</v>
      </c>
      <c r="B58" s="114" t="s">
        <v>286</v>
      </c>
      <c r="C58" s="169"/>
      <c r="D58" s="169"/>
      <c r="E58" s="282" t="s">
        <v>1468</v>
      </c>
      <c r="F58" s="170" t="s">
        <v>270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272</v>
      </c>
      <c r="B59" s="114" t="s">
        <v>287</v>
      </c>
      <c r="C59" s="169"/>
      <c r="D59" s="169"/>
      <c r="E59" s="282" t="s">
        <v>1468</v>
      </c>
      <c r="F59" s="170" t="s">
        <v>270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271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2">
        <f>VLOOKUP(C60,Stock_list!D:L,9,FALSE)</f>
        <v>45205</v>
      </c>
      <c r="F60" s="170" t="s">
        <v>227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261</v>
      </c>
      <c r="B61" s="114" t="str">
        <f>VLOOKUP(A61,'Data pick slip'!B:F,5,FALSE)</f>
        <v>KHJ-MC100-00</v>
      </c>
      <c r="C61" s="169"/>
      <c r="D61" s="169"/>
      <c r="E61" s="282" t="s">
        <v>1491</v>
      </c>
      <c r="F61" s="170" t="s">
        <v>270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261</v>
      </c>
      <c r="B62" s="114" t="str">
        <f>VLOOKUP(A62,'Data pick slip'!B:F,5,FALSE)</f>
        <v>KHJ-MC100-00</v>
      </c>
      <c r="D62" s="396" t="s">
        <v>1497</v>
      </c>
      <c r="E62" s="393" t="s">
        <v>1496</v>
      </c>
      <c r="F62" s="394" t="s">
        <v>270</v>
      </c>
      <c r="G62" s="395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264</v>
      </c>
      <c r="B63" s="114" t="str">
        <f>VLOOKUP(A63,'Data pick slip'!B:F,5,FALSE)</f>
        <v>KHJ-MC200-00</v>
      </c>
      <c r="D63" s="396" t="s">
        <v>1497</v>
      </c>
      <c r="E63" s="393" t="s">
        <v>1496</v>
      </c>
      <c r="F63" s="394" t="s">
        <v>270</v>
      </c>
      <c r="G63" s="395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266</v>
      </c>
      <c r="B64" s="114" t="str">
        <f>VLOOKUP(A64,'Data pick slip'!B:F,5,FALSE)</f>
        <v>KHJ-MC500-00</v>
      </c>
      <c r="D64" s="396" t="s">
        <v>1497</v>
      </c>
      <c r="E64" s="393" t="s">
        <v>1496</v>
      </c>
      <c r="F64" s="394" t="s">
        <v>270</v>
      </c>
      <c r="G64" s="395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267</v>
      </c>
      <c r="B65" s="114" t="str">
        <f>VLOOKUP(A65,'Data pick slip'!B:F,5,FALSE)</f>
        <v>KHJ-MC600-00</v>
      </c>
      <c r="D65" s="396" t="s">
        <v>1497</v>
      </c>
      <c r="E65" s="393" t="s">
        <v>1496</v>
      </c>
      <c r="F65" s="394" t="s">
        <v>270</v>
      </c>
      <c r="G65" s="395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272</v>
      </c>
      <c r="B66" s="114" t="str">
        <f>VLOOKUP(A66,'Data pick slip'!B:F,5,FALSE)</f>
        <v>KLJ-MC100-00</v>
      </c>
      <c r="D66" s="396" t="s">
        <v>1497</v>
      </c>
      <c r="E66" s="393" t="s">
        <v>1496</v>
      </c>
      <c r="F66" s="394" t="s">
        <v>270</v>
      </c>
      <c r="G66" s="395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277</v>
      </c>
      <c r="B67" s="114" t="str">
        <f>VLOOKUP(A67,'Data pick slip'!B:F,5,FALSE)</f>
        <v>KLJ-MC700-00</v>
      </c>
      <c r="D67" s="396" t="s">
        <v>1497</v>
      </c>
      <c r="E67" s="393" t="s">
        <v>1496</v>
      </c>
      <c r="F67" s="394" t="s">
        <v>270</v>
      </c>
      <c r="G67" s="395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272</v>
      </c>
      <c r="B68" s="114" t="str">
        <f>VLOOKUP(A68,'Data pick slip'!B:F,5,FALSE)</f>
        <v>KLJ-MC100-00</v>
      </c>
      <c r="E68" s="405" t="s">
        <v>1523</v>
      </c>
      <c r="F68" s="170" t="s">
        <v>270</v>
      </c>
      <c r="G68" s="171">
        <v>3</v>
      </c>
      <c r="I68" s="390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261</v>
      </c>
      <c r="B69" s="114" t="str">
        <f>VLOOKUP(A69,'Data pick slip'!B:F,5,FALSE)</f>
        <v>KHJ-MC100-00</v>
      </c>
      <c r="E69" s="405" t="s">
        <v>1523</v>
      </c>
      <c r="F69" s="170" t="s">
        <v>270</v>
      </c>
      <c r="G69" s="171">
        <v>6</v>
      </c>
      <c r="I69" s="390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261</v>
      </c>
      <c r="B70" s="114" t="str">
        <f>VLOOKUP(A70,'Data pick slip'!B:F,5,FALSE)</f>
        <v>KHJ-MC100-00</v>
      </c>
      <c r="E70" s="405" t="s">
        <v>1548</v>
      </c>
      <c r="F70" s="170" t="s">
        <v>270</v>
      </c>
      <c r="G70" s="171">
        <v>150</v>
      </c>
      <c r="I70" s="390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264</v>
      </c>
      <c r="B71" s="114" t="str">
        <f>VLOOKUP(A71,'Data pick slip'!B:F,5,FALSE)</f>
        <v>KHJ-MC200-00</v>
      </c>
      <c r="E71" s="405" t="s">
        <v>1548</v>
      </c>
      <c r="F71" s="170" t="s">
        <v>270</v>
      </c>
      <c r="G71" s="171">
        <v>54</v>
      </c>
      <c r="I71" s="390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265</v>
      </c>
      <c r="B72" s="114" t="str">
        <f>VLOOKUP(A72,'Data pick slip'!B:F,5,FALSE)</f>
        <v>KHJ-MC400-00</v>
      </c>
      <c r="E72" s="405" t="s">
        <v>1548</v>
      </c>
      <c r="F72" s="170" t="s">
        <v>270</v>
      </c>
      <c r="G72" s="171">
        <v>7</v>
      </c>
      <c r="I72" s="390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266</v>
      </c>
      <c r="B73" s="114" t="str">
        <f>VLOOKUP(A73,'Data pick slip'!B:F,5,FALSE)</f>
        <v>KHJ-MC500-00</v>
      </c>
      <c r="E73" s="405" t="s">
        <v>1548</v>
      </c>
      <c r="F73" s="170" t="s">
        <v>270</v>
      </c>
      <c r="G73" s="171">
        <v>2</v>
      </c>
      <c r="I73" s="390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277</v>
      </c>
      <c r="B74" s="114" t="str">
        <f>VLOOKUP(A74,'Data pick slip'!B:F,5,FALSE)</f>
        <v>KLJ-MC700-00</v>
      </c>
      <c r="E74" s="405" t="s">
        <v>1595</v>
      </c>
      <c r="F74" s="157" t="s">
        <v>270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272</v>
      </c>
      <c r="B75" s="114" t="str">
        <f>VLOOKUP(A75,'Data pick slip'!B:F,5,FALSE)</f>
        <v>KLJ-MC100-00</v>
      </c>
      <c r="D75" s="390" t="s">
        <v>1429</v>
      </c>
      <c r="E75" s="139" t="s">
        <v>1595</v>
      </c>
      <c r="F75" s="157" t="s">
        <v>270</v>
      </c>
      <c r="G75" s="322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274</v>
      </c>
      <c r="B76" s="114" t="str">
        <f>VLOOKUP(A76,'Data pick slip'!B:F,5,FALSE)</f>
        <v>KLJ-MC400-00</v>
      </c>
      <c r="D76" s="390" t="s">
        <v>1429</v>
      </c>
      <c r="E76" s="139" t="s">
        <v>1595</v>
      </c>
      <c r="F76" s="157" t="s">
        <v>270</v>
      </c>
      <c r="G76" s="322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273</v>
      </c>
      <c r="B77" s="114" t="str">
        <f>VLOOKUP(A77,'Data pick slip'!B:F,5,FALSE)</f>
        <v>KLJ-MC200-00</v>
      </c>
      <c r="D77" s="390" t="s">
        <v>1429</v>
      </c>
      <c r="E77" s="139" t="s">
        <v>1595</v>
      </c>
      <c r="F77" s="157" t="s">
        <v>270</v>
      </c>
      <c r="G77" s="322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274</v>
      </c>
      <c r="B78" s="114" t="str">
        <f>VLOOKUP(A78,'Data pick slip'!B:F,5,FALSE)</f>
        <v>KLJ-MC400-00</v>
      </c>
      <c r="D78" s="390" t="s">
        <v>1429</v>
      </c>
      <c r="E78" s="269" t="s">
        <v>1744</v>
      </c>
      <c r="F78" s="157" t="s">
        <v>270</v>
      </c>
      <c r="G78" s="158">
        <v>6</v>
      </c>
      <c r="I78" s="390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276</v>
      </c>
      <c r="B79" s="114" t="str">
        <f>VLOOKUP(A79,'Data pick slip'!B:F,5,FALSE)</f>
        <v>KLJ-MC600-00</v>
      </c>
      <c r="D79" s="390" t="s">
        <v>1429</v>
      </c>
      <c r="E79" s="269" t="s">
        <v>1744</v>
      </c>
      <c r="F79" s="157" t="s">
        <v>270</v>
      </c>
      <c r="G79" s="158">
        <v>1</v>
      </c>
      <c r="I79" s="390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272</v>
      </c>
      <c r="B80" s="114" t="str">
        <f>VLOOKUP(A80,'Data pick slip'!B:F,5,FALSE)</f>
        <v>KLJ-MC100-00</v>
      </c>
      <c r="C80" s="169"/>
      <c r="D80" s="390" t="s">
        <v>1429</v>
      </c>
      <c r="E80" s="269" t="s">
        <v>1785</v>
      </c>
      <c r="F80" s="170" t="s">
        <v>270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/>
      <c r="B81" s="114" t="e">
        <f>VLOOKUP(A81,'Data pick slip'!B:F,5,FALSE)</f>
        <v>#N/A</v>
      </c>
      <c r="C81" s="169"/>
      <c r="D81" s="169" t="e">
        <f>VLOOKUP(C81,Stock_list!D:L,2,FALSE)</f>
        <v>#N/A</v>
      </c>
      <c r="E81" s="282" t="e">
        <f>VLOOKUP(C81,Stock_list!D:L,9,FALSE)</f>
        <v>#N/A</v>
      </c>
      <c r="F81" s="170"/>
      <c r="G81" s="171"/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2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2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2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2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2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2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2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2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2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5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261</v>
      </c>
      <c r="B92" s="114" t="str">
        <f>VLOOKUP(A92,'Data pick slip'!B:F,5,FALSE)</f>
        <v>KHJ-MC100-00</v>
      </c>
      <c r="F92" s="157" t="s">
        <v>270</v>
      </c>
      <c r="H92" s="138">
        <v>1427</v>
      </c>
      <c r="I92" s="140" t="s">
        <v>103</v>
      </c>
      <c r="J92" s="139" t="s">
        <v>147</v>
      </c>
      <c r="K92" s="51" t="s">
        <v>22</v>
      </c>
      <c r="L92" s="4">
        <v>44454</v>
      </c>
      <c r="O92" s="132">
        <v>40</v>
      </c>
      <c r="P92" s="4" t="s">
        <v>26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261</v>
      </c>
      <c r="B93" s="114" t="str">
        <f>VLOOKUP(A93,'Data pick slip'!B:F,5,FALSE)</f>
        <v>KHJ-MC100-00</v>
      </c>
      <c r="F93" s="157" t="s">
        <v>270</v>
      </c>
      <c r="H93" s="138">
        <v>1764</v>
      </c>
      <c r="I93" s="140" t="e">
        <f>VLOOKUP(H93,Stock_list!A:R,18,FALSE)</f>
        <v>#N/A</v>
      </c>
      <c r="J93" s="139" t="e">
        <f>VLOOKUP(H93,Stock_list!A:S,17,FALSE)</f>
        <v>#N/A</v>
      </c>
      <c r="K93" s="51" t="e">
        <f>VLOOKUP(H93,Stock_list!A:T,16,FALSE)</f>
        <v>#N/A</v>
      </c>
      <c r="L93" s="4">
        <v>44904</v>
      </c>
      <c r="M93" s="140">
        <v>10</v>
      </c>
      <c r="P93" s="4" t="e">
        <f>VLOOKUP(H93,Stock_list!A:Y,25,FALSE)</f>
        <v>#N/A</v>
      </c>
      <c r="Q93" s="143"/>
      <c r="T93" s="144"/>
      <c r="U93" s="145" t="e">
        <f>VLOOKUP(H93,Stock_list!A:N,14,FALSE)</f>
        <v>#N/A</v>
      </c>
    </row>
    <row r="94" spans="1:21" ht="16.5" customHeight="1">
      <c r="A94" s="159" t="s">
        <v>264</v>
      </c>
      <c r="B94" s="114" t="str">
        <f>VLOOKUP(A94,'Data pick slip'!B:F,5,FALSE)</f>
        <v>KHJ-MC200-00</v>
      </c>
      <c r="F94" s="157" t="s">
        <v>270</v>
      </c>
      <c r="H94" s="138">
        <v>1764</v>
      </c>
      <c r="I94" s="140" t="e">
        <f>VLOOKUP(H94,Stock_list!A:R,18,FALSE)</f>
        <v>#N/A</v>
      </c>
      <c r="J94" s="139" t="e">
        <f>VLOOKUP(H94,Stock_list!A:S,17,FALSE)</f>
        <v>#N/A</v>
      </c>
      <c r="K94" s="51" t="e">
        <f>VLOOKUP(H94,Stock_list!A:T,16,FALSE)</f>
        <v>#N/A</v>
      </c>
      <c r="L94" s="4">
        <v>44904</v>
      </c>
      <c r="M94" s="140">
        <v>10</v>
      </c>
      <c r="P94" s="4" t="e">
        <f>VLOOKUP(H94,Stock_list!A:Y,25,FALSE)</f>
        <v>#N/A</v>
      </c>
      <c r="Q94" s="143"/>
      <c r="T94" s="144"/>
      <c r="U94" s="145" t="e">
        <f>VLOOKUP(H94,Stock_list!A:N,14,FALSE)</f>
        <v>#N/A</v>
      </c>
    </row>
    <row r="95" spans="1:21" ht="16.5" customHeight="1">
      <c r="A95" s="159" t="s">
        <v>261</v>
      </c>
      <c r="B95" s="114" t="str">
        <f>VLOOKUP(A95,'Data pick slip'!B:F,5,FALSE)</f>
        <v>KHJ-MC100-00</v>
      </c>
      <c r="F95" s="157" t="s">
        <v>270</v>
      </c>
      <c r="H95" s="138">
        <v>1763</v>
      </c>
      <c r="I95" s="140" t="e">
        <f>VLOOKUP(H95,Stock_list!A:R,18,FALSE)</f>
        <v>#N/A</v>
      </c>
      <c r="J95" s="139" t="e">
        <f>VLOOKUP(H95,Stock_list!A:S,17,FALSE)</f>
        <v>#N/A</v>
      </c>
      <c r="K95" s="51" t="e">
        <f>VLOOKUP(H95,Stock_list!A:T,16,FALSE)</f>
        <v>#N/A</v>
      </c>
      <c r="L95" s="4">
        <v>44900</v>
      </c>
      <c r="M95" s="140">
        <v>30</v>
      </c>
      <c r="P95" s="4" t="e">
        <f>VLOOKUP(H95,Stock_list!A:Y,25,FALSE)</f>
        <v>#N/A</v>
      </c>
      <c r="Q95" s="143"/>
      <c r="T95" s="144"/>
      <c r="U95" s="145" t="e">
        <f>VLOOKUP(H95,Stock_list!A:N,14,FALSE)</f>
        <v>#N/A</v>
      </c>
    </row>
    <row r="96" spans="1:21" ht="16.5" customHeight="1">
      <c r="A96" s="159" t="s">
        <v>264</v>
      </c>
      <c r="B96" s="114" t="str">
        <f>VLOOKUP(A96,'Data pick slip'!B:F,5,FALSE)</f>
        <v>KHJ-MC200-00</v>
      </c>
      <c r="F96" s="157" t="s">
        <v>270</v>
      </c>
      <c r="H96" s="138">
        <v>1763</v>
      </c>
      <c r="I96" s="140" t="e">
        <f>VLOOKUP(H96,Stock_list!A:R,18,FALSE)</f>
        <v>#N/A</v>
      </c>
      <c r="J96" s="139" t="e">
        <f>VLOOKUP(H96,Stock_list!A:S,17,FALSE)</f>
        <v>#N/A</v>
      </c>
      <c r="K96" s="51" t="e">
        <f>VLOOKUP(H96,Stock_list!A:T,16,FALSE)</f>
        <v>#N/A</v>
      </c>
      <c r="L96" s="4">
        <v>44900</v>
      </c>
      <c r="M96" s="140">
        <v>10</v>
      </c>
      <c r="P96" s="4" t="e">
        <f>VLOOKUP(H96,Stock_list!A:Y,25,FALSE)</f>
        <v>#N/A</v>
      </c>
      <c r="Q96" s="143"/>
      <c r="T96" s="144"/>
      <c r="U96" s="145" t="e">
        <f>VLOOKUP(H96,Stock_list!A:N,14,FALSE)</f>
        <v>#N/A</v>
      </c>
    </row>
    <row r="97" spans="1:21" ht="16.5" customHeight="1">
      <c r="A97" s="159" t="s">
        <v>265</v>
      </c>
      <c r="B97" s="114" t="str">
        <f>VLOOKUP(A97,'Data pick slip'!B:F,5,FALSE)</f>
        <v>KHJ-MC400-00</v>
      </c>
      <c r="F97" s="157" t="s">
        <v>270</v>
      </c>
      <c r="H97" s="138">
        <v>1763</v>
      </c>
      <c r="I97" s="140" t="e">
        <f>VLOOKUP(H97,Stock_list!A:R,18,FALSE)</f>
        <v>#N/A</v>
      </c>
      <c r="J97" s="139" t="e">
        <f>VLOOKUP(H97,Stock_list!A:S,17,FALSE)</f>
        <v>#N/A</v>
      </c>
      <c r="K97" s="51" t="e">
        <f>VLOOKUP(H97,Stock_list!A:T,16,FALSE)</f>
        <v>#N/A</v>
      </c>
      <c r="L97" s="4">
        <v>44900</v>
      </c>
      <c r="M97" s="140">
        <v>5</v>
      </c>
      <c r="P97" s="4" t="e">
        <f>VLOOKUP(H97,Stock_list!A:Y,25,FALSE)</f>
        <v>#N/A</v>
      </c>
      <c r="Q97" s="143"/>
      <c r="T97" s="144"/>
      <c r="U97" s="145" t="e">
        <f>VLOOKUP(H97,Stock_list!A:N,14,FALSE)</f>
        <v>#N/A</v>
      </c>
    </row>
    <row r="98" spans="1:21" ht="16.5" customHeight="1">
      <c r="A98" s="159" t="s">
        <v>261</v>
      </c>
      <c r="B98" s="114" t="s">
        <v>280</v>
      </c>
      <c r="F98" s="157" t="s">
        <v>227</v>
      </c>
      <c r="H98" s="138">
        <v>1130</v>
      </c>
      <c r="I98" s="140" t="s">
        <v>101</v>
      </c>
      <c r="J98" s="139" t="s">
        <v>100</v>
      </c>
      <c r="K98" s="51" t="s">
        <v>22</v>
      </c>
      <c r="L98" s="4"/>
      <c r="N98" s="132">
        <v>20</v>
      </c>
      <c r="P98" s="4" t="s">
        <v>26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264</v>
      </c>
      <c r="B99" s="114" t="s">
        <v>281</v>
      </c>
      <c r="F99" s="157" t="s">
        <v>227</v>
      </c>
      <c r="H99" s="138">
        <v>1130</v>
      </c>
      <c r="I99" s="140" t="s">
        <v>101</v>
      </c>
      <c r="J99" s="139" t="s">
        <v>100</v>
      </c>
      <c r="K99" s="51" t="s">
        <v>22</v>
      </c>
      <c r="L99" s="4"/>
      <c r="N99" s="132">
        <v>10</v>
      </c>
      <c r="P99" s="4" t="s">
        <v>26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265</v>
      </c>
      <c r="B100" s="114" t="s">
        <v>282</v>
      </c>
      <c r="F100" s="157" t="s">
        <v>227</v>
      </c>
      <c r="H100" s="138">
        <v>1130</v>
      </c>
      <c r="I100" s="140" t="s">
        <v>101</v>
      </c>
      <c r="J100" s="139" t="s">
        <v>100</v>
      </c>
      <c r="K100" s="51" t="s">
        <v>22</v>
      </c>
      <c r="L100" s="4"/>
      <c r="N100" s="132">
        <v>1</v>
      </c>
      <c r="P100" s="4" t="s">
        <v>26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261</v>
      </c>
      <c r="B101" s="114" t="s">
        <v>280</v>
      </c>
      <c r="F101" s="157" t="s">
        <v>227</v>
      </c>
      <c r="H101" s="138">
        <v>1294</v>
      </c>
      <c r="I101" s="140" t="s">
        <v>283</v>
      </c>
      <c r="J101" s="139" t="s">
        <v>284</v>
      </c>
      <c r="K101" s="51" t="s">
        <v>22</v>
      </c>
      <c r="L101" s="4"/>
      <c r="N101" s="132">
        <v>45</v>
      </c>
      <c r="P101" s="4" t="s">
        <v>26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264</v>
      </c>
      <c r="B102" s="114" t="s">
        <v>281</v>
      </c>
      <c r="F102" s="157" t="s">
        <v>227</v>
      </c>
      <c r="H102" s="138">
        <v>1294</v>
      </c>
      <c r="I102" s="140" t="s">
        <v>283</v>
      </c>
      <c r="J102" s="139" t="s">
        <v>284</v>
      </c>
      <c r="K102" s="51" t="s">
        <v>22</v>
      </c>
      <c r="L102" s="4"/>
      <c r="N102" s="132">
        <v>5</v>
      </c>
      <c r="P102" s="4" t="s">
        <v>26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285</v>
      </c>
      <c r="B103" s="114" t="s">
        <v>280</v>
      </c>
      <c r="F103" s="157" t="s">
        <v>227</v>
      </c>
      <c r="H103" s="138">
        <v>1427</v>
      </c>
      <c r="I103" s="140" t="s">
        <v>103</v>
      </c>
      <c r="J103" s="139" t="s">
        <v>147</v>
      </c>
      <c r="K103" s="51" t="s">
        <v>22</v>
      </c>
      <c r="L103" s="4"/>
      <c r="N103" s="132">
        <v>70</v>
      </c>
      <c r="P103" s="4" t="s">
        <v>26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264</v>
      </c>
      <c r="B104" s="114" t="s">
        <v>281</v>
      </c>
      <c r="F104" s="157" t="s">
        <v>227</v>
      </c>
      <c r="H104" s="138">
        <v>1427</v>
      </c>
      <c r="I104" s="140" t="s">
        <v>103</v>
      </c>
      <c r="J104" s="139" t="s">
        <v>147</v>
      </c>
      <c r="K104" s="51" t="s">
        <v>22</v>
      </c>
      <c r="L104" s="4"/>
      <c r="N104" s="132">
        <v>20</v>
      </c>
      <c r="P104" s="4" t="s">
        <v>26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265</v>
      </c>
      <c r="B105" s="114" t="s">
        <v>282</v>
      </c>
      <c r="F105" s="157" t="s">
        <v>227</v>
      </c>
      <c r="H105" s="138">
        <v>1427</v>
      </c>
      <c r="I105" s="140" t="s">
        <v>103</v>
      </c>
      <c r="J105" s="139" t="s">
        <v>147</v>
      </c>
      <c r="K105" s="51" t="s">
        <v>22</v>
      </c>
      <c r="L105" s="4"/>
      <c r="N105" s="132">
        <v>4</v>
      </c>
      <c r="P105" s="4" t="s">
        <v>26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285</v>
      </c>
      <c r="B106" s="114" t="s">
        <v>280</v>
      </c>
      <c r="F106" s="157" t="s">
        <v>227</v>
      </c>
      <c r="H106" s="138">
        <v>1480</v>
      </c>
      <c r="I106" s="140" t="s">
        <v>156</v>
      </c>
      <c r="J106" s="139" t="s">
        <v>155</v>
      </c>
      <c r="K106" s="51" t="s">
        <v>22</v>
      </c>
      <c r="L106" s="4">
        <v>45068</v>
      </c>
      <c r="M106" s="143">
        <v>70</v>
      </c>
      <c r="P106" s="4" t="s">
        <v>26</v>
      </c>
      <c r="Q106" s="143"/>
      <c r="T106" s="144"/>
      <c r="U106" s="145" t="e">
        <f>VLOOKUP(H106,Stock_list!A:N,14,FALSE)</f>
        <v>#N/A</v>
      </c>
    </row>
    <row r="107" spans="1:21" ht="16.5" customHeight="1">
      <c r="A107" s="159" t="s">
        <v>264</v>
      </c>
      <c r="B107" s="114" t="s">
        <v>281</v>
      </c>
      <c r="F107" s="157" t="s">
        <v>227</v>
      </c>
      <c r="H107" s="138">
        <v>1480</v>
      </c>
      <c r="I107" s="140" t="s">
        <v>156</v>
      </c>
      <c r="J107" s="139" t="s">
        <v>155</v>
      </c>
      <c r="K107" s="51" t="s">
        <v>22</v>
      </c>
      <c r="L107" s="4">
        <v>45068</v>
      </c>
      <c r="M107" s="143">
        <v>11</v>
      </c>
      <c r="P107" s="4" t="s">
        <v>26</v>
      </c>
      <c r="Q107" s="143"/>
      <c r="T107" s="144"/>
      <c r="U107" s="145" t="e">
        <f>VLOOKUP(H107,Stock_list!A:N,14,FALSE)</f>
        <v>#N/A</v>
      </c>
    </row>
    <row r="108" spans="1:21" ht="16.5" customHeight="1">
      <c r="A108" s="159" t="s">
        <v>265</v>
      </c>
      <c r="B108" s="114" t="s">
        <v>282</v>
      </c>
      <c r="F108" s="157" t="s">
        <v>227</v>
      </c>
      <c r="H108" s="138">
        <v>1480</v>
      </c>
      <c r="I108" s="140" t="s">
        <v>156</v>
      </c>
      <c r="J108" s="139" t="s">
        <v>155</v>
      </c>
      <c r="K108" s="51" t="s">
        <v>22</v>
      </c>
      <c r="L108" s="4">
        <v>45068</v>
      </c>
      <c r="M108" s="143">
        <v>4</v>
      </c>
      <c r="P108" s="4" t="s">
        <v>26</v>
      </c>
      <c r="Q108" s="143"/>
      <c r="T108" s="144"/>
      <c r="U108" s="145" t="e">
        <f>VLOOKUP(H108,Stock_list!A:N,14,FALSE)</f>
        <v>#N/A</v>
      </c>
    </row>
    <row r="109" spans="1:21" ht="16.5" customHeight="1">
      <c r="A109" s="159" t="s">
        <v>266</v>
      </c>
      <c r="B109" s="114" t="s">
        <v>286</v>
      </c>
      <c r="F109" s="157" t="s">
        <v>227</v>
      </c>
      <c r="H109" s="138">
        <v>1480</v>
      </c>
      <c r="I109" s="140" t="s">
        <v>156</v>
      </c>
      <c r="J109" s="139" t="s">
        <v>155</v>
      </c>
      <c r="K109" s="51" t="s">
        <v>22</v>
      </c>
      <c r="L109" s="4">
        <v>45068</v>
      </c>
      <c r="M109" s="143">
        <v>1</v>
      </c>
      <c r="P109" s="4" t="s">
        <v>26</v>
      </c>
      <c r="Q109" s="143"/>
      <c r="T109" s="144"/>
      <c r="U109" s="145" t="e">
        <f>VLOOKUP(H109,Stock_list!A:N,14,FALSE)</f>
        <v>#N/A</v>
      </c>
    </row>
    <row r="110" spans="1:21" ht="16.5" customHeight="1">
      <c r="A110" s="159" t="s">
        <v>272</v>
      </c>
      <c r="B110" s="114" t="s">
        <v>287</v>
      </c>
      <c r="F110" s="157" t="s">
        <v>227</v>
      </c>
      <c r="H110" s="138">
        <v>1532</v>
      </c>
      <c r="I110" s="140" t="s">
        <v>143</v>
      </c>
      <c r="J110" s="139" t="s">
        <v>144</v>
      </c>
      <c r="K110" s="51" t="s">
        <v>22</v>
      </c>
      <c r="L110" s="291">
        <v>45138</v>
      </c>
      <c r="M110" s="132">
        <v>50</v>
      </c>
      <c r="P110" s="4" t="s">
        <v>26</v>
      </c>
      <c r="Q110" s="143"/>
      <c r="T110" s="144"/>
      <c r="U110" s="145" t="e">
        <f>VLOOKUP(H110,Stock_list!A:N,14,FALSE)</f>
        <v>#N/A</v>
      </c>
    </row>
    <row r="111" spans="1:21" ht="16.5" customHeight="1">
      <c r="A111" s="159" t="s">
        <v>261</v>
      </c>
      <c r="B111" s="114" t="s">
        <v>280</v>
      </c>
      <c r="F111" s="157" t="s">
        <v>227</v>
      </c>
      <c r="H111" s="138">
        <v>1652</v>
      </c>
      <c r="I111" s="140" t="s">
        <v>145</v>
      </c>
      <c r="J111" s="139" t="s">
        <v>146</v>
      </c>
      <c r="K111" s="51" t="s">
        <v>22</v>
      </c>
      <c r="L111" s="4">
        <v>44789</v>
      </c>
      <c r="M111" s="332">
        <v>30</v>
      </c>
      <c r="N111" s="132">
        <v>50</v>
      </c>
      <c r="P111" s="4" t="s">
        <v>26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271</v>
      </c>
      <c r="B112" s="114" t="s">
        <v>289</v>
      </c>
      <c r="F112" s="157" t="s">
        <v>290</v>
      </c>
      <c r="H112" s="138">
        <v>1656</v>
      </c>
      <c r="I112" s="140" t="s">
        <v>161</v>
      </c>
      <c r="J112" s="139" t="s">
        <v>160</v>
      </c>
      <c r="K112" s="51" t="s">
        <v>35</v>
      </c>
      <c r="L112" s="4">
        <v>45156</v>
      </c>
      <c r="M112" s="132">
        <v>2</v>
      </c>
      <c r="P112" s="4" t="s">
        <v>26</v>
      </c>
      <c r="Q112" s="143"/>
      <c r="T112" s="144"/>
      <c r="U112" s="145" t="e">
        <f>VLOOKUP(H112,Stock_list!A:N,14,FALSE)</f>
        <v>#N/A</v>
      </c>
    </row>
    <row r="113" spans="1:21" ht="16.5" customHeight="1">
      <c r="A113" s="159" t="s">
        <v>261</v>
      </c>
      <c r="B113" s="114" t="s">
        <v>280</v>
      </c>
      <c r="F113" s="157" t="s">
        <v>290</v>
      </c>
      <c r="H113" s="138">
        <v>1656</v>
      </c>
      <c r="I113" s="140" t="s">
        <v>161</v>
      </c>
      <c r="J113" s="139" t="s">
        <v>160</v>
      </c>
      <c r="K113" s="51" t="s">
        <v>35</v>
      </c>
      <c r="L113" s="4">
        <v>45156</v>
      </c>
      <c r="M113" s="132">
        <v>80</v>
      </c>
      <c r="P113" s="4" t="s">
        <v>26</v>
      </c>
      <c r="Q113" s="143"/>
      <c r="T113" s="144"/>
      <c r="U113" s="145" t="e">
        <f>VLOOKUP(H113,Stock_list!A:N,14,FALSE)</f>
        <v>#N/A</v>
      </c>
    </row>
    <row r="114" spans="1:21" ht="16.5" customHeight="1">
      <c r="A114" s="159" t="s">
        <v>264</v>
      </c>
      <c r="B114" s="114" t="s">
        <v>281</v>
      </c>
      <c r="F114" s="157" t="s">
        <v>290</v>
      </c>
      <c r="H114" s="138">
        <v>1656</v>
      </c>
      <c r="I114" s="140" t="s">
        <v>161</v>
      </c>
      <c r="J114" s="139" t="s">
        <v>160</v>
      </c>
      <c r="K114" s="51" t="s">
        <v>35</v>
      </c>
      <c r="L114" s="4">
        <v>45156</v>
      </c>
      <c r="M114" s="132">
        <v>20</v>
      </c>
      <c r="P114" s="4" t="s">
        <v>26</v>
      </c>
      <c r="Q114" s="143"/>
      <c r="T114" s="144"/>
      <c r="U114" s="145" t="e">
        <f>VLOOKUP(H114,Stock_list!A:N,14,FALSE)</f>
        <v>#N/A</v>
      </c>
    </row>
    <row r="115" spans="1:21" ht="16.5" customHeight="1">
      <c r="A115" s="159" t="s">
        <v>265</v>
      </c>
      <c r="B115" s="114" t="s">
        <v>282</v>
      </c>
      <c r="F115" s="157" t="s">
        <v>290</v>
      </c>
      <c r="H115" s="138">
        <v>1656</v>
      </c>
      <c r="I115" s="140" t="s">
        <v>161</v>
      </c>
      <c r="J115" s="139" t="s">
        <v>160</v>
      </c>
      <c r="K115" s="51" t="s">
        <v>35</v>
      </c>
      <c r="L115" s="4">
        <v>45156</v>
      </c>
      <c r="M115" s="132">
        <v>10</v>
      </c>
      <c r="P115" s="4" t="s">
        <v>26</v>
      </c>
      <c r="Q115" s="143"/>
      <c r="T115" s="144"/>
      <c r="U115" s="145" t="e">
        <f>VLOOKUP(H115,Stock_list!A:N,14,FALSE)</f>
        <v>#N/A</v>
      </c>
    </row>
    <row r="116" spans="1:21" ht="16.5" customHeight="1">
      <c r="A116" s="159" t="s">
        <v>266</v>
      </c>
      <c r="B116" s="114" t="s">
        <v>286</v>
      </c>
      <c r="F116" s="157" t="s">
        <v>290</v>
      </c>
      <c r="H116" s="138">
        <v>1656</v>
      </c>
      <c r="I116" s="140" t="s">
        <v>161</v>
      </c>
      <c r="J116" s="139" t="s">
        <v>160</v>
      </c>
      <c r="K116" s="51" t="s">
        <v>35</v>
      </c>
      <c r="L116" s="4">
        <v>45156</v>
      </c>
      <c r="M116" s="132">
        <v>2</v>
      </c>
      <c r="P116" s="4" t="s">
        <v>26</v>
      </c>
      <c r="Q116" s="143"/>
      <c r="T116" s="144"/>
      <c r="U116" s="145" t="e">
        <f>VLOOKUP(H116,Stock_list!A:N,14,FALSE)</f>
        <v>#N/A</v>
      </c>
    </row>
    <row r="117" spans="1:21" ht="16.5" customHeight="1">
      <c r="A117" s="159" t="s">
        <v>267</v>
      </c>
      <c r="B117" s="114" t="s">
        <v>291</v>
      </c>
      <c r="F117" s="157" t="s">
        <v>290</v>
      </c>
      <c r="H117" s="138">
        <v>1656</v>
      </c>
      <c r="I117" s="140" t="s">
        <v>161</v>
      </c>
      <c r="J117" s="139" t="s">
        <v>160</v>
      </c>
      <c r="K117" s="51" t="s">
        <v>35</v>
      </c>
      <c r="L117" s="4">
        <v>45156</v>
      </c>
      <c r="M117" s="132">
        <v>1</v>
      </c>
      <c r="P117" s="4" t="s">
        <v>26</v>
      </c>
      <c r="Q117" s="143"/>
      <c r="T117" s="144"/>
      <c r="U117" s="145" t="e">
        <f>VLOOKUP(H117,Stock_list!A:N,14,FALSE)</f>
        <v>#N/A</v>
      </c>
    </row>
    <row r="118" spans="1:21" ht="16.5" customHeight="1">
      <c r="A118" s="159" t="s">
        <v>268</v>
      </c>
      <c r="B118" s="114" t="s">
        <v>292</v>
      </c>
      <c r="F118" s="157" t="s">
        <v>290</v>
      </c>
      <c r="H118" s="138">
        <v>1656</v>
      </c>
      <c r="I118" s="140" t="s">
        <v>161</v>
      </c>
      <c r="J118" s="139" t="s">
        <v>160</v>
      </c>
      <c r="K118" s="51" t="s">
        <v>35</v>
      </c>
      <c r="L118" s="4">
        <v>45156</v>
      </c>
      <c r="M118" s="132">
        <v>1</v>
      </c>
      <c r="P118" s="4" t="s">
        <v>26</v>
      </c>
      <c r="Q118" s="143"/>
      <c r="T118" s="144"/>
      <c r="U118" s="145" t="e">
        <f>VLOOKUP(H118,Stock_list!A:N,14,FALSE)</f>
        <v>#N/A</v>
      </c>
    </row>
    <row r="119" spans="1:21" ht="16.5" customHeight="1">
      <c r="A119" s="159" t="s">
        <v>261</v>
      </c>
      <c r="B119" s="114" t="s">
        <v>280</v>
      </c>
      <c r="F119" s="157" t="s">
        <v>270</v>
      </c>
      <c r="H119" s="138">
        <v>1719</v>
      </c>
      <c r="I119" s="140" t="s">
        <v>159</v>
      </c>
      <c r="J119" s="139" t="s">
        <v>158</v>
      </c>
      <c r="K119" s="51" t="s">
        <v>35</v>
      </c>
      <c r="L119" s="4">
        <v>45121</v>
      </c>
      <c r="M119" s="132">
        <v>32</v>
      </c>
      <c r="P119" s="4" t="s">
        <v>26</v>
      </c>
      <c r="Q119" s="143"/>
      <c r="T119" s="144"/>
      <c r="U119" s="145" t="e">
        <f>VLOOKUP(H119,Stock_list!A:N,14,FALSE)</f>
        <v>#N/A</v>
      </c>
    </row>
    <row r="120" spans="1:21" ht="16.5" customHeight="1">
      <c r="A120" s="159" t="s">
        <v>264</v>
      </c>
      <c r="B120" s="114" t="s">
        <v>281</v>
      </c>
      <c r="F120" s="157" t="s">
        <v>270</v>
      </c>
      <c r="H120" s="138">
        <v>1719</v>
      </c>
      <c r="I120" s="140" t="s">
        <v>159</v>
      </c>
      <c r="J120" s="139" t="s">
        <v>158</v>
      </c>
      <c r="K120" s="51" t="s">
        <v>35</v>
      </c>
      <c r="L120" s="4">
        <v>45121</v>
      </c>
      <c r="M120" s="132">
        <v>7</v>
      </c>
      <c r="P120" s="4" t="s">
        <v>26</v>
      </c>
      <c r="Q120" s="143"/>
      <c r="T120" s="144"/>
      <c r="U120" s="145" t="e">
        <f>VLOOKUP(H120,Stock_list!A:N,14,FALSE)</f>
        <v>#N/A</v>
      </c>
    </row>
    <row r="121" spans="1:21" ht="16.5" customHeight="1">
      <c r="A121" s="159" t="s">
        <v>265</v>
      </c>
      <c r="B121" s="114" t="s">
        <v>282</v>
      </c>
      <c r="F121" s="157" t="s">
        <v>270</v>
      </c>
      <c r="H121" s="138">
        <v>1719</v>
      </c>
      <c r="I121" s="140" t="s">
        <v>159</v>
      </c>
      <c r="J121" s="139" t="s">
        <v>158</v>
      </c>
      <c r="K121" s="51" t="s">
        <v>35</v>
      </c>
      <c r="L121" s="4">
        <v>45121</v>
      </c>
      <c r="M121" s="132">
        <v>2</v>
      </c>
      <c r="P121" s="4" t="s">
        <v>26</v>
      </c>
      <c r="Q121" s="143"/>
      <c r="T121" s="144"/>
      <c r="U121" s="145" t="e">
        <f>VLOOKUP(H121,Stock_list!A:N,14,FALSE)</f>
        <v>#N/A</v>
      </c>
    </row>
    <row r="122" spans="1:21" ht="16.5" customHeight="1">
      <c r="A122" s="159" t="s">
        <v>272</v>
      </c>
      <c r="B122" s="114" t="s">
        <v>287</v>
      </c>
      <c r="F122" s="157" t="s">
        <v>270</v>
      </c>
      <c r="H122" s="138">
        <v>1767</v>
      </c>
      <c r="I122" s="140" t="s">
        <v>114</v>
      </c>
      <c r="J122" s="139" t="s">
        <v>293</v>
      </c>
      <c r="K122" s="51" t="s">
        <v>35</v>
      </c>
      <c r="L122" s="4">
        <v>44910</v>
      </c>
      <c r="M122" s="140">
        <v>6</v>
      </c>
      <c r="P122" s="4" t="s">
        <v>26</v>
      </c>
      <c r="Q122" s="143"/>
      <c r="T122" s="144"/>
      <c r="U122" s="145" t="e">
        <f>VLOOKUP(H122,Stock_list!A:N,14,FALSE)</f>
        <v>#N/A</v>
      </c>
    </row>
    <row r="123" spans="1:21" ht="16.5" customHeight="1">
      <c r="A123" s="159" t="s">
        <v>261</v>
      </c>
      <c r="B123" s="114" t="s">
        <v>280</v>
      </c>
      <c r="F123" s="157" t="s">
        <v>270</v>
      </c>
      <c r="H123" s="138">
        <v>1770</v>
      </c>
      <c r="I123" s="140" t="s">
        <v>105</v>
      </c>
      <c r="J123" s="139" t="s">
        <v>152</v>
      </c>
      <c r="K123" s="51" t="s">
        <v>35</v>
      </c>
      <c r="L123" s="4">
        <v>44973</v>
      </c>
      <c r="M123" s="143">
        <v>113</v>
      </c>
      <c r="P123" s="4" t="e">
        <f>VLOOKUP(H123,Stock_list!A:Y,25,FALSE)</f>
        <v>#N/A</v>
      </c>
      <c r="T123" s="144"/>
      <c r="U123" s="145" t="e">
        <f>VLOOKUP(H123,Stock_list!A:N,14,FALSE)</f>
        <v>#N/A</v>
      </c>
    </row>
    <row r="124" spans="1:21" ht="16.5" customHeight="1">
      <c r="A124" s="159" t="s">
        <v>264</v>
      </c>
      <c r="B124" s="114" t="s">
        <v>281</v>
      </c>
      <c r="F124" s="157" t="s">
        <v>270</v>
      </c>
      <c r="H124" s="138">
        <v>1770</v>
      </c>
      <c r="I124" s="140" t="s">
        <v>105</v>
      </c>
      <c r="J124" s="139" t="s">
        <v>152</v>
      </c>
      <c r="K124" s="51" t="s">
        <v>35</v>
      </c>
      <c r="L124" s="4">
        <v>44973</v>
      </c>
      <c r="M124" s="143">
        <v>10</v>
      </c>
      <c r="P124" s="4" t="e">
        <f>VLOOKUP(H124,Stock_list!A:Y,25,FALSE)</f>
        <v>#N/A</v>
      </c>
      <c r="T124" s="144"/>
      <c r="U124" s="145" t="e">
        <f>VLOOKUP(H124,Stock_list!A:N,14,FALSE)</f>
        <v>#N/A</v>
      </c>
    </row>
    <row r="125" spans="1:21" ht="16.5" customHeight="1">
      <c r="A125" s="159" t="s">
        <v>265</v>
      </c>
      <c r="B125" s="114" t="s">
        <v>282</v>
      </c>
      <c r="F125" s="157" t="s">
        <v>270</v>
      </c>
      <c r="H125" s="138">
        <v>1770</v>
      </c>
      <c r="I125" s="140" t="s">
        <v>105</v>
      </c>
      <c r="J125" s="139" t="s">
        <v>152</v>
      </c>
      <c r="K125" s="51" t="s">
        <v>35</v>
      </c>
      <c r="L125" s="4">
        <v>44973</v>
      </c>
      <c r="M125" s="143">
        <v>5</v>
      </c>
      <c r="P125" s="4" t="e">
        <f>VLOOKUP(H125,Stock_list!A:Y,25,FALSE)</f>
        <v>#N/A</v>
      </c>
      <c r="T125" s="144"/>
      <c r="U125" s="145" t="e">
        <f>VLOOKUP(H125,Stock_list!A:N,14,FALSE)</f>
        <v>#N/A</v>
      </c>
    </row>
    <row r="126" spans="1:21" ht="16.5" customHeight="1">
      <c r="A126" s="159" t="s">
        <v>261</v>
      </c>
      <c r="B126" s="114" t="str">
        <f>VLOOKUP(A126,'Data pick slip'!B:F,5,FALSE)</f>
        <v>KHJ-MC100-00</v>
      </c>
      <c r="F126" s="157" t="s">
        <v>270</v>
      </c>
      <c r="H126" s="138">
        <v>1783</v>
      </c>
      <c r="I126" s="140" t="e">
        <f>VLOOKUP(H126,Stock_list!A:R,18,FALSE)</f>
        <v>#N/A</v>
      </c>
      <c r="J126" s="139" t="e">
        <f>VLOOKUP(H126,Stock_list!A:S,17,FALSE)</f>
        <v>#N/A</v>
      </c>
      <c r="K126" s="51" t="e">
        <f>VLOOKUP(H126,Stock_list!A:T,16,FALSE)</f>
        <v>#N/A</v>
      </c>
      <c r="L126" s="4">
        <v>44925</v>
      </c>
      <c r="M126" s="143">
        <v>210</v>
      </c>
      <c r="P126" s="4" t="e">
        <f>VLOOKUP(H126,Stock_list!A:Y,25,FALSE)</f>
        <v>#N/A</v>
      </c>
      <c r="T126" s="144"/>
      <c r="U126" s="145" t="e">
        <f>VLOOKUP(H126,Stock_list!A:N,14,FALSE)</f>
        <v>#N/A</v>
      </c>
    </row>
    <row r="127" spans="1:21" ht="16.5" customHeight="1">
      <c r="A127" s="159" t="s">
        <v>264</v>
      </c>
      <c r="B127" s="114" t="str">
        <f>VLOOKUP(A127,'Data pick slip'!B:F,5,FALSE)</f>
        <v>KHJ-MC200-00</v>
      </c>
      <c r="F127" s="157" t="s">
        <v>270</v>
      </c>
      <c r="H127" s="138">
        <v>1783</v>
      </c>
      <c r="I127" s="140" t="e">
        <f>VLOOKUP(H127,Stock_list!A:R,18,FALSE)</f>
        <v>#N/A</v>
      </c>
      <c r="J127" s="139" t="e">
        <f>VLOOKUP(H127,Stock_list!A:S,17,FALSE)</f>
        <v>#N/A</v>
      </c>
      <c r="K127" s="51" t="e">
        <f>VLOOKUP(H127,Stock_list!A:T,16,FALSE)</f>
        <v>#N/A</v>
      </c>
      <c r="L127" s="4">
        <v>44925</v>
      </c>
      <c r="M127" s="143">
        <v>60</v>
      </c>
      <c r="P127" s="4" t="e">
        <f>VLOOKUP(H127,Stock_list!A:Y,25,FALSE)</f>
        <v>#N/A</v>
      </c>
      <c r="T127" s="144"/>
      <c r="U127" s="145" t="e">
        <f>VLOOKUP(H127,Stock_list!A:N,14,FALSE)</f>
        <v>#N/A</v>
      </c>
    </row>
    <row r="128" spans="1:21" ht="16.5" customHeight="1">
      <c r="A128" s="159" t="s">
        <v>265</v>
      </c>
      <c r="B128" s="114" t="str">
        <f>VLOOKUP(A128,'Data pick slip'!B:F,5,FALSE)</f>
        <v>KHJ-MC400-00</v>
      </c>
      <c r="F128" s="157" t="s">
        <v>270</v>
      </c>
      <c r="H128" s="138">
        <v>1783</v>
      </c>
      <c r="I128" s="140" t="e">
        <f>VLOOKUP(H128,Stock_list!A:R,18,FALSE)</f>
        <v>#N/A</v>
      </c>
      <c r="J128" s="139" t="e">
        <f>VLOOKUP(H128,Stock_list!A:S,17,FALSE)</f>
        <v>#N/A</v>
      </c>
      <c r="K128" s="51" t="e">
        <f>VLOOKUP(H128,Stock_list!A:T,16,FALSE)</f>
        <v>#N/A</v>
      </c>
      <c r="L128" s="4">
        <v>44925</v>
      </c>
      <c r="M128" s="143">
        <v>8</v>
      </c>
      <c r="P128" s="4" t="e">
        <f>VLOOKUP(H128,Stock_list!A:Y,25,FALSE)</f>
        <v>#N/A</v>
      </c>
      <c r="T128" s="144"/>
      <c r="U128" s="145" t="e">
        <f>VLOOKUP(H128,Stock_list!A:N,14,FALSE)</f>
        <v>#N/A</v>
      </c>
    </row>
    <row r="129" spans="1:21" ht="16.5" customHeight="1">
      <c r="A129" s="159" t="s">
        <v>266</v>
      </c>
      <c r="B129" s="114" t="str">
        <f>VLOOKUP(A129,'Data pick slip'!B:F,5,FALSE)</f>
        <v>KHJ-MC500-00</v>
      </c>
      <c r="F129" s="157" t="s">
        <v>270</v>
      </c>
      <c r="H129" s="138">
        <v>1783</v>
      </c>
      <c r="I129" s="140" t="e">
        <f>VLOOKUP(H129,Stock_list!A:R,18,FALSE)</f>
        <v>#N/A</v>
      </c>
      <c r="J129" s="139" t="e">
        <f>VLOOKUP(H129,Stock_list!A:S,17,FALSE)</f>
        <v>#N/A</v>
      </c>
      <c r="K129" s="51" t="e">
        <f>VLOOKUP(H129,Stock_list!A:T,16,FALSE)</f>
        <v>#N/A</v>
      </c>
      <c r="L129" s="4">
        <v>44925</v>
      </c>
      <c r="M129" s="143">
        <v>5</v>
      </c>
      <c r="P129" s="4" t="e">
        <f>VLOOKUP(H129,Stock_list!A:Y,25,FALSE)</f>
        <v>#N/A</v>
      </c>
      <c r="T129" s="144"/>
      <c r="U129" s="145" t="e">
        <f>VLOOKUP(H129,Stock_list!A:N,14,FALSE)</f>
        <v>#N/A</v>
      </c>
    </row>
    <row r="130" spans="1:21" ht="16.5" customHeight="1">
      <c r="A130" s="159" t="s">
        <v>267</v>
      </c>
      <c r="B130" s="114" t="str">
        <f>VLOOKUP(A130,'Data pick slip'!B:F,5,FALSE)</f>
        <v>KHJ-MC600-00</v>
      </c>
      <c r="F130" s="157" t="s">
        <v>270</v>
      </c>
      <c r="H130" s="138">
        <v>1783</v>
      </c>
      <c r="I130" s="140" t="e">
        <f>VLOOKUP(H130,Stock_list!A:R,18,FALSE)</f>
        <v>#N/A</v>
      </c>
      <c r="J130" s="139" t="e">
        <f>VLOOKUP(H130,Stock_list!A:S,17,FALSE)</f>
        <v>#N/A</v>
      </c>
      <c r="K130" s="51" t="e">
        <f>VLOOKUP(H130,Stock_list!A:T,16,FALSE)</f>
        <v>#N/A</v>
      </c>
      <c r="L130" s="4">
        <v>44925</v>
      </c>
      <c r="M130" s="143">
        <v>2</v>
      </c>
      <c r="P130" s="4" t="e">
        <f>VLOOKUP(H130,Stock_list!A:Y,25,FALSE)</f>
        <v>#N/A</v>
      </c>
      <c r="T130" s="144"/>
      <c r="U130" s="145" t="e">
        <f>VLOOKUP(H130,Stock_list!A:N,14,FALSE)</f>
        <v>#N/A</v>
      </c>
    </row>
    <row r="131" spans="1:21" ht="16.5" customHeight="1">
      <c r="A131" s="159" t="s">
        <v>268</v>
      </c>
      <c r="B131" s="114" t="str">
        <f>VLOOKUP(A131,'Data pick slip'!B:F,5,FALSE)</f>
        <v>KHJ-MC700-00</v>
      </c>
      <c r="F131" s="157" t="s">
        <v>270</v>
      </c>
      <c r="H131" s="138">
        <v>1783</v>
      </c>
      <c r="I131" s="140" t="e">
        <f>VLOOKUP(H131,Stock_list!A:R,18,FALSE)</f>
        <v>#N/A</v>
      </c>
      <c r="J131" s="139" t="e">
        <f>VLOOKUP(H131,Stock_list!A:S,17,FALSE)</f>
        <v>#N/A</v>
      </c>
      <c r="K131" s="51" t="e">
        <f>VLOOKUP(H131,Stock_list!A:T,16,FALSE)</f>
        <v>#N/A</v>
      </c>
      <c r="L131" s="4">
        <v>44925</v>
      </c>
      <c r="M131" s="143">
        <v>3</v>
      </c>
      <c r="P131" s="4" t="e">
        <f>VLOOKUP(H131,Stock_list!A:Y,25,FALSE)</f>
        <v>#N/A</v>
      </c>
      <c r="T131" s="144"/>
      <c r="U131" s="145" t="e">
        <f>VLOOKUP(H131,Stock_list!A:N,14,FALSE)</f>
        <v>#N/A</v>
      </c>
    </row>
    <row r="132" spans="1:21" ht="16.5" customHeight="1">
      <c r="A132" s="159" t="s">
        <v>261</v>
      </c>
      <c r="B132" s="114" t="str">
        <f>VLOOKUP(A132,'Data pick slip'!B:F,5,FALSE)</f>
        <v>KHJ-MC100-00</v>
      </c>
      <c r="F132" s="157" t="s">
        <v>227</v>
      </c>
      <c r="H132" s="138">
        <v>1788</v>
      </c>
      <c r="I132" s="140" t="e">
        <f>VLOOKUP(H132,Stock_list!A:R,18,FALSE)</f>
        <v>#N/A</v>
      </c>
      <c r="J132" s="139" t="e">
        <f>VLOOKUP(H132,Stock_list!A:S,17,FALSE)</f>
        <v>#N/A</v>
      </c>
      <c r="K132" s="51" t="e">
        <f>VLOOKUP(H132,Stock_list!A:T,16,FALSE)</f>
        <v>#N/A</v>
      </c>
      <c r="L132" s="4">
        <v>45013</v>
      </c>
      <c r="M132" s="140">
        <v>235</v>
      </c>
      <c r="N132" s="143"/>
      <c r="P132" s="4" t="e">
        <f>VLOOKUP(H132,Stock_list!A:Y,25,FALSE)</f>
        <v>#N/A</v>
      </c>
      <c r="T132" s="144"/>
      <c r="U132" s="145" t="e">
        <f>VLOOKUP(H132,Stock_list!A:N,14,FALSE)</f>
        <v>#N/A</v>
      </c>
    </row>
    <row r="133" spans="1:21" ht="16.5" customHeight="1">
      <c r="A133" s="159" t="s">
        <v>264</v>
      </c>
      <c r="B133" s="114" t="str">
        <f>VLOOKUP(A133,'Data pick slip'!B:F,5,FALSE)</f>
        <v>KHJ-MC200-00</v>
      </c>
      <c r="F133" s="157" t="s">
        <v>227</v>
      </c>
      <c r="H133" s="138">
        <v>1788</v>
      </c>
      <c r="I133" s="140" t="e">
        <f>VLOOKUP(H133,Stock_list!A:R,18,FALSE)</f>
        <v>#N/A</v>
      </c>
      <c r="J133" s="139" t="e">
        <f>VLOOKUP(H133,Stock_list!A:S,17,FALSE)</f>
        <v>#N/A</v>
      </c>
      <c r="K133" s="51" t="e">
        <f>VLOOKUP(H133,Stock_list!A:T,16,FALSE)</f>
        <v>#N/A</v>
      </c>
      <c r="L133" s="4">
        <v>45013</v>
      </c>
      <c r="M133" s="140">
        <v>50</v>
      </c>
      <c r="N133" s="143"/>
      <c r="P133" s="4" t="e">
        <f>VLOOKUP(H133,Stock_list!A:Y,25,FALSE)</f>
        <v>#N/A</v>
      </c>
      <c r="T133" s="144"/>
      <c r="U133" s="145" t="e">
        <f>VLOOKUP(H133,Stock_list!A:N,14,FALSE)</f>
        <v>#N/A</v>
      </c>
    </row>
    <row r="134" spans="1:21" ht="16.5" customHeight="1">
      <c r="A134" s="159" t="s">
        <v>265</v>
      </c>
      <c r="B134" s="114" t="str">
        <f>VLOOKUP(A134,'Data pick slip'!B:F,5,FALSE)</f>
        <v>KHJ-MC400-00</v>
      </c>
      <c r="F134" s="157" t="s">
        <v>227</v>
      </c>
      <c r="H134" s="138">
        <v>1788</v>
      </c>
      <c r="I134" s="140" t="e">
        <f>VLOOKUP(H134,Stock_list!A:R,18,FALSE)</f>
        <v>#N/A</v>
      </c>
      <c r="J134" s="139" t="e">
        <f>VLOOKUP(H134,Stock_list!A:S,17,FALSE)</f>
        <v>#N/A</v>
      </c>
      <c r="K134" s="51" t="e">
        <f>VLOOKUP(H134,Stock_list!A:T,16,FALSE)</f>
        <v>#N/A</v>
      </c>
      <c r="L134" s="4">
        <v>45013</v>
      </c>
      <c r="M134" s="140">
        <v>5</v>
      </c>
      <c r="N134" s="143"/>
      <c r="P134" s="4" t="e">
        <f>VLOOKUP(H134,Stock_list!A:Y,25,FALSE)</f>
        <v>#N/A</v>
      </c>
      <c r="T134" s="144"/>
      <c r="U134" s="145" t="e">
        <f>VLOOKUP(H134,Stock_list!A:N,14,FALSE)</f>
        <v>#N/A</v>
      </c>
    </row>
    <row r="135" spans="1:21" ht="16.5" customHeight="1">
      <c r="A135" s="159" t="s">
        <v>266</v>
      </c>
      <c r="B135" s="114" t="str">
        <f>VLOOKUP(A135,'Data pick slip'!B:F,5,FALSE)</f>
        <v>KHJ-MC500-00</v>
      </c>
      <c r="F135" s="157" t="s">
        <v>227</v>
      </c>
      <c r="H135" s="138">
        <v>1788</v>
      </c>
      <c r="I135" s="140" t="e">
        <f>VLOOKUP(H135,Stock_list!A:R,18,FALSE)</f>
        <v>#N/A</v>
      </c>
      <c r="J135" s="139" t="e">
        <f>VLOOKUP(H135,Stock_list!A:S,17,FALSE)</f>
        <v>#N/A</v>
      </c>
      <c r="K135" s="51" t="e">
        <f>VLOOKUP(H135,Stock_list!A:T,16,FALSE)</f>
        <v>#N/A</v>
      </c>
      <c r="L135" s="4">
        <v>45013</v>
      </c>
      <c r="M135" s="140">
        <v>5</v>
      </c>
      <c r="N135" s="143"/>
      <c r="P135" s="4" t="e">
        <f>VLOOKUP(H135,Stock_list!A:Y,25,FALSE)</f>
        <v>#N/A</v>
      </c>
      <c r="T135" s="144"/>
      <c r="U135" s="145" t="e">
        <f>VLOOKUP(H135,Stock_list!A:N,14,FALSE)</f>
        <v>#N/A</v>
      </c>
    </row>
    <row r="136" spans="1:21" ht="16.5" customHeight="1">
      <c r="A136" s="159" t="s">
        <v>267</v>
      </c>
      <c r="B136" s="114" t="str">
        <f>VLOOKUP(A136,'Data pick slip'!B:F,5,FALSE)</f>
        <v>KHJ-MC600-00</v>
      </c>
      <c r="F136" s="157" t="s">
        <v>227</v>
      </c>
      <c r="H136" s="138">
        <v>1788</v>
      </c>
      <c r="I136" s="140" t="e">
        <f>VLOOKUP(H136,Stock_list!A:R,18,FALSE)</f>
        <v>#N/A</v>
      </c>
      <c r="J136" s="139" t="e">
        <f>VLOOKUP(H136,Stock_list!A:S,17,FALSE)</f>
        <v>#N/A</v>
      </c>
      <c r="K136" s="51" t="e">
        <f>VLOOKUP(H136,Stock_list!A:T,16,FALSE)</f>
        <v>#N/A</v>
      </c>
      <c r="L136" s="4">
        <v>45013</v>
      </c>
      <c r="M136" s="140">
        <v>2</v>
      </c>
      <c r="N136" s="143"/>
      <c r="P136" s="4" t="e">
        <f>VLOOKUP(H136,Stock_list!A:Y,25,FALSE)</f>
        <v>#N/A</v>
      </c>
      <c r="T136" s="144"/>
      <c r="U136" s="145" t="e">
        <f>VLOOKUP(H136,Stock_list!A:N,14,FALSE)</f>
        <v>#N/A</v>
      </c>
    </row>
    <row r="137" spans="1:21" ht="16.5" customHeight="1">
      <c r="A137" s="159" t="s">
        <v>268</v>
      </c>
      <c r="B137" s="114" t="str">
        <f>VLOOKUP(A137,'Data pick slip'!B:F,5,FALSE)</f>
        <v>KHJ-MC700-00</v>
      </c>
      <c r="F137" s="157" t="s">
        <v>270</v>
      </c>
      <c r="H137" s="138">
        <v>1788</v>
      </c>
      <c r="I137" s="140" t="e">
        <f>VLOOKUP(H137,Stock_list!A:R,18,FALSE)</f>
        <v>#N/A</v>
      </c>
      <c r="J137" s="139" t="e">
        <f>VLOOKUP(H137,Stock_list!A:S,17,FALSE)</f>
        <v>#N/A</v>
      </c>
      <c r="K137" s="51" t="e">
        <f>VLOOKUP(H137,Stock_list!A:T,16,FALSE)</f>
        <v>#N/A</v>
      </c>
      <c r="L137" s="4">
        <v>45013</v>
      </c>
      <c r="M137" s="140">
        <v>2</v>
      </c>
      <c r="N137" s="143"/>
      <c r="P137" s="4" t="e">
        <f>VLOOKUP(H137,Stock_list!A:Y,25,FALSE)</f>
        <v>#N/A</v>
      </c>
      <c r="S137" s="268" t="s">
        <v>295</v>
      </c>
      <c r="T137" s="266" t="s">
        <v>296</v>
      </c>
      <c r="U137" s="145" t="e">
        <f>VLOOKUP(H137,Stock_list!A:N,14,FALSE)</f>
        <v>#N/A</v>
      </c>
    </row>
    <row r="138" spans="1:21" ht="16.5" customHeight="1">
      <c r="A138" s="159" t="s">
        <v>261</v>
      </c>
      <c r="B138" s="114" t="str">
        <f>VLOOKUP(A138,'Data pick slip'!B:F,5,FALSE)</f>
        <v>KHJ-MC100-00</v>
      </c>
      <c r="F138" s="157" t="s">
        <v>270</v>
      </c>
      <c r="H138" s="138">
        <v>1790</v>
      </c>
      <c r="I138" s="140" t="e">
        <f>VLOOKUP(H138,Stock_list!A:R,18,FALSE)</f>
        <v>#N/A</v>
      </c>
      <c r="J138" s="139" t="e">
        <f>VLOOKUP(H138,Stock_list!A:S,17,FALSE)</f>
        <v>#N/A</v>
      </c>
      <c r="K138" s="51" t="e">
        <f>VLOOKUP(H138,Stock_list!A:T,16,FALSE)</f>
        <v>#N/A</v>
      </c>
      <c r="L138" s="4">
        <v>44918</v>
      </c>
      <c r="M138" s="143">
        <v>30</v>
      </c>
      <c r="P138" s="4" t="e">
        <f>VLOOKUP(H138,Stock_list!A:Y,25,FALSE)</f>
        <v>#N/A</v>
      </c>
      <c r="T138" s="144"/>
      <c r="U138" s="145" t="e">
        <f>VLOOKUP(H138,Stock_list!A:N,14,FALSE)</f>
        <v>#N/A</v>
      </c>
    </row>
    <row r="139" spans="1:21" ht="16.5" customHeight="1">
      <c r="A139" s="159" t="s">
        <v>264</v>
      </c>
      <c r="B139" s="114" t="str">
        <f>VLOOKUP(A139,'Data pick slip'!B:F,5,FALSE)</f>
        <v>KHJ-MC200-00</v>
      </c>
      <c r="F139" s="157" t="s">
        <v>270</v>
      </c>
      <c r="H139" s="138">
        <v>1790</v>
      </c>
      <c r="I139" s="140" t="e">
        <f>VLOOKUP(H139,Stock_list!A:R,18,FALSE)</f>
        <v>#N/A</v>
      </c>
      <c r="J139" s="139" t="e">
        <f>VLOOKUP(H139,Stock_list!A:S,17,FALSE)</f>
        <v>#N/A</v>
      </c>
      <c r="K139" s="51" t="e">
        <f>VLOOKUP(H139,Stock_list!A:T,16,FALSE)</f>
        <v>#N/A</v>
      </c>
      <c r="L139" s="4">
        <v>44918</v>
      </c>
      <c r="M139" s="143">
        <v>13</v>
      </c>
      <c r="P139" s="4" t="e">
        <f>VLOOKUP(H139,Stock_list!A:Y,25,FALSE)</f>
        <v>#N/A</v>
      </c>
      <c r="T139" s="144"/>
      <c r="U139" s="145" t="e">
        <f>VLOOKUP(H139,Stock_list!A:N,14,FALSE)</f>
        <v>#N/A</v>
      </c>
    </row>
    <row r="140" spans="1:21" ht="16.5" customHeight="1">
      <c r="A140" s="159" t="s">
        <v>265</v>
      </c>
      <c r="B140" s="114" t="str">
        <f>VLOOKUP(A140,'Data pick slip'!B:F,5,FALSE)</f>
        <v>KHJ-MC400-00</v>
      </c>
      <c r="F140" s="157" t="s">
        <v>270</v>
      </c>
      <c r="H140" s="138">
        <v>1790</v>
      </c>
      <c r="I140" s="140" t="e">
        <f>VLOOKUP(H140,Stock_list!A:R,18,FALSE)</f>
        <v>#N/A</v>
      </c>
      <c r="J140" s="139" t="e">
        <f>VLOOKUP(H140,Stock_list!A:S,17,FALSE)</f>
        <v>#N/A</v>
      </c>
      <c r="K140" s="51" t="e">
        <f>VLOOKUP(H140,Stock_list!A:T,16,FALSE)</f>
        <v>#N/A</v>
      </c>
      <c r="L140" s="4">
        <v>44918</v>
      </c>
      <c r="M140" s="143">
        <v>4</v>
      </c>
      <c r="P140" s="4" t="e">
        <f>VLOOKUP(H140,Stock_list!A:Y,25,FALSE)</f>
        <v>#N/A</v>
      </c>
      <c r="T140" s="144"/>
      <c r="U140" s="145" t="e">
        <f>VLOOKUP(H140,Stock_list!A:N,14,FALSE)</f>
        <v>#N/A</v>
      </c>
    </row>
    <row r="141" spans="1:21" ht="16.5" customHeight="1">
      <c r="A141" s="159" t="s">
        <v>266</v>
      </c>
      <c r="B141" s="114" t="str">
        <f>VLOOKUP(A141,'Data pick slip'!B:F,5,FALSE)</f>
        <v>KHJ-MC500-00</v>
      </c>
      <c r="F141" s="157" t="s">
        <v>270</v>
      </c>
      <c r="H141" s="138">
        <v>1790</v>
      </c>
      <c r="I141" s="140" t="e">
        <f>VLOOKUP(H141,Stock_list!A:R,18,FALSE)</f>
        <v>#N/A</v>
      </c>
      <c r="J141" s="139" t="e">
        <f>VLOOKUP(H141,Stock_list!A:S,17,FALSE)</f>
        <v>#N/A</v>
      </c>
      <c r="K141" s="51" t="e">
        <f>VLOOKUP(H141,Stock_list!A:T,16,FALSE)</f>
        <v>#N/A</v>
      </c>
      <c r="L141" s="4">
        <v>44918</v>
      </c>
      <c r="M141" s="143">
        <v>2</v>
      </c>
      <c r="P141" s="4" t="e">
        <f>VLOOKUP(H141,Stock_list!A:Y,25,FALSE)</f>
        <v>#N/A</v>
      </c>
      <c r="T141" s="144"/>
      <c r="U141" s="145" t="e">
        <f>VLOOKUP(H141,Stock_list!A:N,14,FALSE)</f>
        <v>#N/A</v>
      </c>
    </row>
    <row r="142" spans="1:21" ht="16.5" customHeight="1">
      <c r="A142" s="159" t="s">
        <v>267</v>
      </c>
      <c r="B142" s="114" t="str">
        <f>VLOOKUP(A142,'Data pick slip'!B:F,5,FALSE)</f>
        <v>KHJ-MC600-00</v>
      </c>
      <c r="F142" s="157" t="s">
        <v>270</v>
      </c>
      <c r="H142" s="138">
        <v>1790</v>
      </c>
      <c r="I142" s="140" t="e">
        <f>VLOOKUP(H142,Stock_list!A:R,18,FALSE)</f>
        <v>#N/A</v>
      </c>
      <c r="J142" s="139" t="e">
        <f>VLOOKUP(H142,Stock_list!A:S,17,FALSE)</f>
        <v>#N/A</v>
      </c>
      <c r="K142" s="51" t="e">
        <f>VLOOKUP(H142,Stock_list!A:T,16,FALSE)</f>
        <v>#N/A</v>
      </c>
      <c r="L142" s="4">
        <v>44918</v>
      </c>
      <c r="M142" s="143">
        <v>1</v>
      </c>
      <c r="P142" s="4" t="e">
        <f>VLOOKUP(H142,Stock_list!A:Y,25,FALSE)</f>
        <v>#N/A</v>
      </c>
      <c r="T142" s="144"/>
      <c r="U142" s="145" t="e">
        <f>VLOOKUP(H142,Stock_list!A:N,14,FALSE)</f>
        <v>#N/A</v>
      </c>
    </row>
    <row r="143" spans="1:21" ht="16.5" customHeight="1">
      <c r="A143" s="159" t="s">
        <v>261</v>
      </c>
      <c r="B143" s="114" t="str">
        <f>VLOOKUP(A143,'Data pick slip'!B:F,5,FALSE)</f>
        <v>KHJ-MC100-00</v>
      </c>
      <c r="F143" s="157" t="s">
        <v>270</v>
      </c>
      <c r="H143" s="138">
        <v>1791</v>
      </c>
      <c r="I143" s="140" t="e">
        <f>VLOOKUP(H143,Stock_list!A:R,18,FALSE)</f>
        <v>#N/A</v>
      </c>
      <c r="J143" s="139" t="e">
        <f>VLOOKUP(H143,Stock_list!A:S,17,FALSE)</f>
        <v>#N/A</v>
      </c>
      <c r="K143" s="51" t="e">
        <f>VLOOKUP(H143,Stock_list!A:T,16,FALSE)</f>
        <v>#N/A</v>
      </c>
      <c r="L143" s="4">
        <v>44932</v>
      </c>
      <c r="M143" s="143">
        <v>45</v>
      </c>
      <c r="P143" s="4" t="e">
        <f>VLOOKUP(H143,Stock_list!A:Y,25,FALSE)</f>
        <v>#N/A</v>
      </c>
      <c r="T143" s="144"/>
      <c r="U143" s="145" t="e">
        <f>VLOOKUP(H143,Stock_list!A:N,14,FALSE)</f>
        <v>#N/A</v>
      </c>
    </row>
    <row r="144" spans="1:21" ht="16.5" customHeight="1">
      <c r="A144" s="159" t="s">
        <v>264</v>
      </c>
      <c r="B144" s="114" t="str">
        <f>VLOOKUP(A144,'Data pick slip'!B:F,5,FALSE)</f>
        <v>KHJ-MC200-00</v>
      </c>
      <c r="F144" s="157" t="s">
        <v>270</v>
      </c>
      <c r="H144" s="138">
        <v>1791</v>
      </c>
      <c r="I144" s="140" t="e">
        <f>VLOOKUP(H144,Stock_list!A:R,18,FALSE)</f>
        <v>#N/A</v>
      </c>
      <c r="J144" s="139" t="e">
        <f>VLOOKUP(H144,Stock_list!A:S,17,FALSE)</f>
        <v>#N/A</v>
      </c>
      <c r="K144" s="51" t="e">
        <f>VLOOKUP(H144,Stock_list!A:T,16,FALSE)</f>
        <v>#N/A</v>
      </c>
      <c r="L144" s="4">
        <v>44932</v>
      </c>
      <c r="M144" s="143">
        <v>10</v>
      </c>
      <c r="P144" s="4" t="e">
        <f>VLOOKUP(H144,Stock_list!A:Y,25,FALSE)</f>
        <v>#N/A</v>
      </c>
      <c r="T144" s="144"/>
      <c r="U144" s="145" t="e">
        <f>VLOOKUP(H144,Stock_list!A:N,14,FALSE)</f>
        <v>#N/A</v>
      </c>
    </row>
    <row r="145" spans="1:21" ht="16.5" customHeight="1">
      <c r="A145" s="159" t="s">
        <v>265</v>
      </c>
      <c r="B145" s="114" t="str">
        <f>VLOOKUP(A145,'Data pick slip'!B:F,5,FALSE)</f>
        <v>KHJ-MC400-00</v>
      </c>
      <c r="F145" s="157" t="s">
        <v>270</v>
      </c>
      <c r="H145" s="138">
        <v>1791</v>
      </c>
      <c r="I145" s="140" t="e">
        <f>VLOOKUP(H145,Stock_list!A:R,18,FALSE)</f>
        <v>#N/A</v>
      </c>
      <c r="J145" s="139" t="e">
        <f>VLOOKUP(H145,Stock_list!A:S,17,FALSE)</f>
        <v>#N/A</v>
      </c>
      <c r="K145" s="51" t="e">
        <f>VLOOKUP(H145,Stock_list!A:T,16,FALSE)</f>
        <v>#N/A</v>
      </c>
      <c r="L145" s="4">
        <v>44932</v>
      </c>
      <c r="M145" s="143">
        <v>5</v>
      </c>
      <c r="P145" s="4" t="e">
        <f>VLOOKUP(H145,Stock_list!A:Y,25,FALSE)</f>
        <v>#N/A</v>
      </c>
      <c r="T145" s="144"/>
      <c r="U145" s="145" t="e">
        <f>VLOOKUP(H145,Stock_list!A:N,14,FALSE)</f>
        <v>#N/A</v>
      </c>
    </row>
    <row r="146" spans="1:21" ht="16.5" customHeight="1">
      <c r="A146" s="159" t="s">
        <v>261</v>
      </c>
      <c r="B146" s="114" t="str">
        <f>VLOOKUP(A146,'Data pick slip'!B:F,5,FALSE)</f>
        <v>KHJ-MC100-00</v>
      </c>
      <c r="F146" s="157" t="s">
        <v>270</v>
      </c>
      <c r="H146" s="138">
        <v>1795</v>
      </c>
      <c r="I146" s="140" t="e">
        <f>VLOOKUP(H146,Stock_list!A:R,18,FALSE)</f>
        <v>#N/A</v>
      </c>
      <c r="J146" s="139" t="e">
        <f>VLOOKUP(H146,Stock_list!A:S,17,FALSE)</f>
        <v>#N/A</v>
      </c>
      <c r="K146" s="51" t="e">
        <f>VLOOKUP(H146,Stock_list!A:T,16,FALSE)</f>
        <v>#N/A</v>
      </c>
      <c r="L146" s="4">
        <v>44959</v>
      </c>
      <c r="M146" s="140">
        <v>80</v>
      </c>
      <c r="N146" s="143"/>
      <c r="P146" s="4" t="e">
        <f>VLOOKUP(H146,Stock_list!A:Y,25,FALSE)</f>
        <v>#N/A</v>
      </c>
      <c r="T146" s="144"/>
      <c r="U146" s="145" t="e">
        <f>VLOOKUP(H146,Stock_list!A:N,14,FALSE)</f>
        <v>#N/A</v>
      </c>
    </row>
    <row r="147" spans="1:21" ht="16.5" customHeight="1">
      <c r="A147" s="159" t="s">
        <v>261</v>
      </c>
      <c r="B147" s="114" t="str">
        <f>VLOOKUP(A147,'Data pick slip'!B:F,5,FALSE)</f>
        <v>KHJ-MC100-00</v>
      </c>
      <c r="F147" s="157" t="s">
        <v>270</v>
      </c>
      <c r="H147" s="138">
        <v>1813</v>
      </c>
      <c r="I147" s="140" t="e">
        <f>VLOOKUP(H147,Stock_list!A:R,18,FALSE)</f>
        <v>#N/A</v>
      </c>
      <c r="J147" s="139" t="e">
        <f>VLOOKUP(H147,Stock_list!A:S,17,FALSE)</f>
        <v>#N/A</v>
      </c>
      <c r="K147" s="51" t="e">
        <f>VLOOKUP(H147,Stock_list!A:T,16,FALSE)</f>
        <v>#N/A</v>
      </c>
      <c r="L147" s="4">
        <v>44995</v>
      </c>
      <c r="M147" s="140">
        <v>10</v>
      </c>
      <c r="P147" s="4" t="e">
        <f>VLOOKUP(H147,Stock_list!A:Y,25,FALSE)</f>
        <v>#N/A</v>
      </c>
      <c r="Q147" s="143"/>
      <c r="T147" s="144"/>
      <c r="U147" s="145" t="e">
        <f>VLOOKUP(H147,Stock_list!A:N,14,FALSE)</f>
        <v>#N/A</v>
      </c>
    </row>
    <row r="148" spans="1:21" ht="16.5" customHeight="1">
      <c r="A148" s="159" t="s">
        <v>261</v>
      </c>
      <c r="B148" s="114" t="str">
        <f>VLOOKUP(A148,'Data pick slip'!B:F,5,FALSE)</f>
        <v>KHJ-MC100-00</v>
      </c>
      <c r="F148" s="157" t="s">
        <v>270</v>
      </c>
      <c r="H148" s="138">
        <v>1815</v>
      </c>
      <c r="I148" s="140" t="e">
        <f>VLOOKUP(H148,Stock_list!A:R,18,FALSE)</f>
        <v>#N/A</v>
      </c>
      <c r="J148" s="139" t="e">
        <f>VLOOKUP(H148,Stock_list!A:S,17,FALSE)</f>
        <v>#N/A</v>
      </c>
      <c r="K148" s="51" t="e">
        <f>VLOOKUP(H148,Stock_list!A:T,16,FALSE)</f>
        <v>#N/A</v>
      </c>
      <c r="L148" s="4">
        <v>44939</v>
      </c>
      <c r="M148" s="143">
        <v>53</v>
      </c>
      <c r="P148" s="4" t="e">
        <f>VLOOKUP(H148,Stock_list!A:Y,25,FALSE)</f>
        <v>#N/A</v>
      </c>
      <c r="T148" s="144"/>
      <c r="U148" s="145" t="e">
        <f>VLOOKUP(H148,Stock_list!A:N,14,FALSE)</f>
        <v>#N/A</v>
      </c>
    </row>
    <row r="149" spans="1:21" ht="16.5" customHeight="1">
      <c r="A149" s="159" t="s">
        <v>264</v>
      </c>
      <c r="B149" s="114" t="str">
        <f>VLOOKUP(A149,'Data pick slip'!B:F,5,FALSE)</f>
        <v>KHJ-MC200-00</v>
      </c>
      <c r="F149" s="157" t="s">
        <v>270</v>
      </c>
      <c r="H149" s="138">
        <v>1815</v>
      </c>
      <c r="I149" s="140" t="e">
        <f>VLOOKUP(H149,Stock_list!A:R,18,FALSE)</f>
        <v>#N/A</v>
      </c>
      <c r="J149" s="139" t="e">
        <f>VLOOKUP(H149,Stock_list!A:S,17,FALSE)</f>
        <v>#N/A</v>
      </c>
      <c r="K149" s="51" t="e">
        <f>VLOOKUP(H149,Stock_list!A:T,16,FALSE)</f>
        <v>#N/A</v>
      </c>
      <c r="L149" s="4">
        <v>44939</v>
      </c>
      <c r="M149" s="143">
        <v>20</v>
      </c>
      <c r="P149" s="4" t="e">
        <f>VLOOKUP(H149,Stock_list!A:Y,25,FALSE)</f>
        <v>#N/A</v>
      </c>
      <c r="T149" s="144"/>
      <c r="U149" s="145" t="e">
        <f>VLOOKUP(H149,Stock_list!A:N,14,FALSE)</f>
        <v>#N/A</v>
      </c>
    </row>
    <row r="150" spans="1:21" ht="16.5" customHeight="1">
      <c r="A150" s="159" t="s">
        <v>261</v>
      </c>
      <c r="B150" s="114" t="str">
        <f>VLOOKUP(A150,'Data pick slip'!B:F,5,FALSE)</f>
        <v>KHJ-MC100-00</v>
      </c>
      <c r="F150" s="157" t="s">
        <v>270</v>
      </c>
      <c r="H150" s="138">
        <v>1816</v>
      </c>
      <c r="I150" s="140" t="e">
        <f>VLOOKUP(H150,Stock_list!A:R,18,FALSE)</f>
        <v>#N/A</v>
      </c>
      <c r="J150" s="139" t="e">
        <f>VLOOKUP(H150,Stock_list!A:S,17,FALSE)</f>
        <v>#N/A</v>
      </c>
      <c r="K150" s="51" t="e">
        <f>VLOOKUP(H150,Stock_list!A:T,16,FALSE)</f>
        <v>#N/A</v>
      </c>
      <c r="L150" s="4">
        <v>44999</v>
      </c>
      <c r="M150" s="140">
        <v>12</v>
      </c>
      <c r="N150" s="143"/>
      <c r="P150" s="4" t="e">
        <f>VLOOKUP(H150,Stock_list!A:Y,25,FALSE)</f>
        <v>#N/A</v>
      </c>
      <c r="T150" s="144"/>
      <c r="U150" s="145" t="e">
        <f>VLOOKUP(H150,Stock_list!A:N,14,FALSE)</f>
        <v>#N/A</v>
      </c>
    </row>
    <row r="151" spans="1:21" ht="16.5" customHeight="1">
      <c r="A151" s="159" t="s">
        <v>264</v>
      </c>
      <c r="B151" s="114" t="str">
        <f>VLOOKUP(A151,'Data pick slip'!B:F,5,FALSE)</f>
        <v>KHJ-MC200-00</v>
      </c>
      <c r="F151" s="157" t="s">
        <v>270</v>
      </c>
      <c r="H151" s="138">
        <v>1816</v>
      </c>
      <c r="I151" s="140" t="e">
        <f>VLOOKUP(H151,Stock_list!A:R,18,FALSE)</f>
        <v>#N/A</v>
      </c>
      <c r="J151" s="139" t="e">
        <f>VLOOKUP(H151,Stock_list!A:S,17,FALSE)</f>
        <v>#N/A</v>
      </c>
      <c r="K151" s="51" t="e">
        <f>VLOOKUP(H151,Stock_list!A:T,16,FALSE)</f>
        <v>#N/A</v>
      </c>
      <c r="L151" s="4">
        <v>44999</v>
      </c>
      <c r="M151" s="140">
        <v>4</v>
      </c>
      <c r="N151" s="143"/>
      <c r="P151" s="4" t="e">
        <f>VLOOKUP(H151,Stock_list!A:Y,25,FALSE)</f>
        <v>#N/A</v>
      </c>
      <c r="T151" s="144"/>
      <c r="U151" s="145" t="e">
        <f>VLOOKUP(H151,Stock_list!A:N,14,FALSE)</f>
        <v>#N/A</v>
      </c>
    </row>
    <row r="152" spans="1:21" ht="16.5" customHeight="1">
      <c r="A152" s="159" t="s">
        <v>261</v>
      </c>
      <c r="B152" s="114" t="str">
        <f>VLOOKUP(A152,'Data pick slip'!B:F,5,FALSE)</f>
        <v>KHJ-MC100-00</v>
      </c>
      <c r="F152" s="157" t="s">
        <v>270</v>
      </c>
      <c r="H152" s="138">
        <v>1820</v>
      </c>
      <c r="I152" s="140" t="e">
        <f>VLOOKUP(H152,Stock_list!A:R,18,FALSE)</f>
        <v>#N/A</v>
      </c>
      <c r="J152" s="139" t="e">
        <f>VLOOKUP(H152,Stock_list!A:S,17,FALSE)</f>
        <v>#N/A</v>
      </c>
      <c r="K152" s="51" t="e">
        <f>VLOOKUP(H152,Stock_list!A:T,16,FALSE)</f>
        <v>#N/A</v>
      </c>
      <c r="L152" s="4">
        <v>45001</v>
      </c>
      <c r="M152" s="140">
        <f>150+48</f>
        <v>198</v>
      </c>
      <c r="N152" s="143"/>
      <c r="P152" s="4" t="e">
        <f>VLOOKUP(H152,Stock_list!A:Y,25,FALSE)</f>
        <v>#N/A</v>
      </c>
      <c r="T152" s="144"/>
      <c r="U152" s="145" t="e">
        <f>VLOOKUP(H152,Stock_list!A:N,14,FALSE)</f>
        <v>#N/A</v>
      </c>
    </row>
    <row r="153" spans="1:21" ht="16.5" customHeight="1">
      <c r="A153" s="159" t="s">
        <v>264</v>
      </c>
      <c r="B153" s="114" t="str">
        <f>VLOOKUP(A153,'Data pick slip'!B:F,5,FALSE)</f>
        <v>KHJ-MC200-00</v>
      </c>
      <c r="F153" s="157" t="s">
        <v>270</v>
      </c>
      <c r="H153" s="138">
        <v>1820</v>
      </c>
      <c r="I153" s="140" t="e">
        <f>VLOOKUP(H153,Stock_list!A:R,18,FALSE)</f>
        <v>#N/A</v>
      </c>
      <c r="J153" s="139" t="e">
        <f>VLOOKUP(H153,Stock_list!A:S,17,FALSE)</f>
        <v>#N/A</v>
      </c>
      <c r="K153" s="51" t="e">
        <f>VLOOKUP(H153,Stock_list!A:T,16,FALSE)</f>
        <v>#N/A</v>
      </c>
      <c r="L153" s="4">
        <v>45001</v>
      </c>
      <c r="M153" s="140">
        <f>40+20</f>
        <v>60</v>
      </c>
      <c r="N153" s="143"/>
      <c r="P153" s="4" t="e">
        <f>VLOOKUP(H153,Stock_list!A:Y,25,FALSE)</f>
        <v>#N/A</v>
      </c>
      <c r="T153" s="144"/>
      <c r="U153" s="145" t="e">
        <f>VLOOKUP(H153,Stock_list!A:N,14,FALSE)</f>
        <v>#N/A</v>
      </c>
    </row>
    <row r="154" spans="1:21" ht="16.5" customHeight="1">
      <c r="A154" s="159" t="s">
        <v>265</v>
      </c>
      <c r="B154" s="114" t="str">
        <f>VLOOKUP(A154,'Data pick slip'!B:F,5,FALSE)</f>
        <v>KHJ-MC400-00</v>
      </c>
      <c r="F154" s="157" t="s">
        <v>270</v>
      </c>
      <c r="H154" s="138">
        <v>1820</v>
      </c>
      <c r="I154" s="140" t="e">
        <f>VLOOKUP(H154,Stock_list!A:R,18,FALSE)</f>
        <v>#N/A</v>
      </c>
      <c r="J154" s="139" t="e">
        <f>VLOOKUP(H154,Stock_list!A:S,17,FALSE)</f>
        <v>#N/A</v>
      </c>
      <c r="K154" s="51" t="e">
        <f>VLOOKUP(H154,Stock_list!A:T,16,FALSE)</f>
        <v>#N/A</v>
      </c>
      <c r="L154" s="4">
        <v>45001</v>
      </c>
      <c r="M154" s="140">
        <f>5+1</f>
        <v>6</v>
      </c>
      <c r="N154" s="143"/>
      <c r="P154" s="4" t="e">
        <f>VLOOKUP(H154,Stock_list!A:Y,25,FALSE)</f>
        <v>#N/A</v>
      </c>
      <c r="T154" s="144"/>
      <c r="U154" s="145" t="e">
        <f>VLOOKUP(H154,Stock_list!A:N,14,FALSE)</f>
        <v>#N/A</v>
      </c>
    </row>
    <row r="155" spans="1:21" ht="16.5" customHeight="1">
      <c r="A155" s="159" t="s">
        <v>266</v>
      </c>
      <c r="B155" s="114" t="str">
        <f>VLOOKUP(A155,'Data pick slip'!B:F,5,FALSE)</f>
        <v>KHJ-MC500-00</v>
      </c>
      <c r="F155" s="157" t="s">
        <v>270</v>
      </c>
      <c r="H155" s="138">
        <v>1820</v>
      </c>
      <c r="I155" s="140" t="e">
        <f>VLOOKUP(H155,Stock_list!A:R,18,FALSE)</f>
        <v>#N/A</v>
      </c>
      <c r="J155" s="139" t="e">
        <f>VLOOKUP(H155,Stock_list!A:S,17,FALSE)</f>
        <v>#N/A</v>
      </c>
      <c r="K155" s="51" t="e">
        <f>VLOOKUP(H155,Stock_list!A:T,16,FALSE)</f>
        <v>#N/A</v>
      </c>
      <c r="L155" s="4">
        <v>45001</v>
      </c>
      <c r="M155" s="140">
        <f>5+1</f>
        <v>6</v>
      </c>
      <c r="N155" s="143"/>
      <c r="P155" s="4" t="e">
        <f>VLOOKUP(H155,Stock_list!A:Y,25,FALSE)</f>
        <v>#N/A</v>
      </c>
      <c r="T155" s="144"/>
      <c r="U155" s="145" t="e">
        <f>VLOOKUP(H155,Stock_list!A:N,14,FALSE)</f>
        <v>#N/A</v>
      </c>
    </row>
    <row r="156" spans="1:21" ht="16.5" customHeight="1">
      <c r="A156" s="159" t="s">
        <v>267</v>
      </c>
      <c r="B156" s="114" t="str">
        <f>VLOOKUP(A156,'Data pick slip'!B:F,5,FALSE)</f>
        <v>KHJ-MC600-00</v>
      </c>
      <c r="F156" s="157" t="s">
        <v>270</v>
      </c>
      <c r="H156" s="138">
        <v>1820</v>
      </c>
      <c r="I156" s="140" t="e">
        <f>VLOOKUP(H156,Stock_list!A:R,18,FALSE)</f>
        <v>#N/A</v>
      </c>
      <c r="J156" s="139" t="e">
        <f>VLOOKUP(H156,Stock_list!A:S,17,FALSE)</f>
        <v>#N/A</v>
      </c>
      <c r="K156" s="51" t="e">
        <f>VLOOKUP(H156,Stock_list!A:T,16,FALSE)</f>
        <v>#N/A</v>
      </c>
      <c r="L156" s="4">
        <v>45001</v>
      </c>
      <c r="M156" s="140">
        <v>2</v>
      </c>
      <c r="N156" s="143"/>
      <c r="P156" s="4" t="e">
        <f>VLOOKUP(H156,Stock_list!A:Y,25,FALSE)</f>
        <v>#N/A</v>
      </c>
      <c r="T156" s="144"/>
      <c r="U156" s="145" t="e">
        <f>VLOOKUP(H156,Stock_list!A:N,14,FALSE)</f>
        <v>#N/A</v>
      </c>
    </row>
    <row r="157" spans="1:21" ht="16.5" customHeight="1">
      <c r="A157" s="159" t="s">
        <v>268</v>
      </c>
      <c r="B157" s="114" t="str">
        <f>VLOOKUP(A157,'Data pick slip'!B:F,5,FALSE)</f>
        <v>KHJ-MC700-00</v>
      </c>
      <c r="F157" s="157" t="s">
        <v>270</v>
      </c>
      <c r="H157" s="138">
        <v>1820</v>
      </c>
      <c r="I157" s="140" t="e">
        <f>VLOOKUP(H157,Stock_list!A:R,18,FALSE)</f>
        <v>#N/A</v>
      </c>
      <c r="J157" s="139" t="e">
        <f>VLOOKUP(H157,Stock_list!A:S,17,FALSE)</f>
        <v>#N/A</v>
      </c>
      <c r="K157" s="51" t="e">
        <f>VLOOKUP(H157,Stock_list!A:T,16,FALSE)</f>
        <v>#N/A</v>
      </c>
      <c r="L157" s="4">
        <v>45001</v>
      </c>
      <c r="M157" s="140">
        <v>2</v>
      </c>
      <c r="N157" s="143"/>
      <c r="P157" s="4" t="e">
        <f>VLOOKUP(H157,Stock_list!A:Y,25,FALSE)</f>
        <v>#N/A</v>
      </c>
      <c r="T157" s="144"/>
      <c r="U157" s="145" t="e">
        <f>VLOOKUP(H157,Stock_list!A:N,14,FALSE)</f>
        <v>#N/A</v>
      </c>
    </row>
    <row r="158" spans="1:21" ht="16.5" customHeight="1">
      <c r="A158" s="159" t="s">
        <v>261</v>
      </c>
      <c r="B158" s="114" t="str">
        <f>VLOOKUP(A158,'Data pick slip'!B:F,5,FALSE)</f>
        <v>KHJ-MC100-00</v>
      </c>
      <c r="F158" s="157" t="s">
        <v>270</v>
      </c>
      <c r="H158" s="138">
        <v>1821</v>
      </c>
      <c r="I158" s="140" t="e">
        <f>VLOOKUP(H158,Stock_list!A:R,18,FALSE)</f>
        <v>#N/A</v>
      </c>
      <c r="J158" s="139" t="e">
        <f>VLOOKUP(H158,Stock_list!A:S,17,FALSE)</f>
        <v>#N/A</v>
      </c>
      <c r="K158" s="51" t="e">
        <f>VLOOKUP(H158,Stock_list!A:T,16,FALSE)</f>
        <v>#N/A</v>
      </c>
      <c r="L158" s="4">
        <v>44980</v>
      </c>
      <c r="M158" s="140">
        <v>242</v>
      </c>
      <c r="N158" s="143"/>
      <c r="P158" s="4" t="e">
        <f>VLOOKUP(H158,Stock_list!A:Y,25,FALSE)</f>
        <v>#N/A</v>
      </c>
      <c r="T158" s="144"/>
      <c r="U158" s="145" t="e">
        <f>VLOOKUP(H158,Stock_list!A:N,14,FALSE)</f>
        <v>#N/A</v>
      </c>
    </row>
    <row r="159" spans="1:21" ht="16.5" customHeight="1">
      <c r="A159" s="159" t="s">
        <v>264</v>
      </c>
      <c r="B159" s="114" t="str">
        <f>VLOOKUP(A159,'Data pick slip'!B:F,5,FALSE)</f>
        <v>KHJ-MC200-00</v>
      </c>
      <c r="F159" s="157" t="s">
        <v>270</v>
      </c>
      <c r="H159" s="138">
        <v>1821</v>
      </c>
      <c r="I159" s="140" t="e">
        <f>VLOOKUP(H159,Stock_list!A:R,18,FALSE)</f>
        <v>#N/A</v>
      </c>
      <c r="J159" s="139" t="e">
        <f>VLOOKUP(H159,Stock_list!A:S,17,FALSE)</f>
        <v>#N/A</v>
      </c>
      <c r="K159" s="51" t="e">
        <f>VLOOKUP(H159,Stock_list!A:T,16,FALSE)</f>
        <v>#N/A</v>
      </c>
      <c r="L159" s="4">
        <v>44980</v>
      </c>
      <c r="M159" s="140">
        <v>5</v>
      </c>
      <c r="N159" s="143"/>
      <c r="P159" s="4" t="e">
        <f>VLOOKUP(H159,Stock_list!A:Y,25,FALSE)</f>
        <v>#N/A</v>
      </c>
      <c r="T159" s="144"/>
      <c r="U159" s="145" t="e">
        <f>VLOOKUP(H159,Stock_list!A:N,14,FALSE)</f>
        <v>#N/A</v>
      </c>
    </row>
    <row r="160" spans="1:21" ht="16.5" customHeight="1">
      <c r="A160" s="159" t="s">
        <v>261</v>
      </c>
      <c r="B160" s="114" t="str">
        <f>VLOOKUP(A160,'Data pick slip'!B:F,5,FALSE)</f>
        <v>KHJ-MC100-00</v>
      </c>
      <c r="F160" s="157" t="s">
        <v>270</v>
      </c>
      <c r="H160" s="138">
        <v>1835</v>
      </c>
      <c r="I160" s="140" t="e">
        <f>VLOOKUP(H160,Stock_list!A:R,18,FALSE)</f>
        <v>#N/A</v>
      </c>
      <c r="J160" s="139" t="e">
        <f>VLOOKUP(H160,Stock_list!A:S,17,FALSE)</f>
        <v>#N/A</v>
      </c>
      <c r="K160" s="51" t="e">
        <f>VLOOKUP(H160,Stock_list!A:T,16,FALSE)</f>
        <v>#N/A</v>
      </c>
      <c r="L160" s="4">
        <v>44978</v>
      </c>
      <c r="M160" s="143">
        <v>20</v>
      </c>
      <c r="P160" s="4" t="e">
        <f>VLOOKUP(H160,Stock_list!A:Y,25,FALSE)</f>
        <v>#N/A</v>
      </c>
      <c r="T160" s="144"/>
      <c r="U160" s="145" t="e">
        <f>VLOOKUP(H160,Stock_list!A:N,14,FALSE)</f>
        <v>#N/A</v>
      </c>
    </row>
    <row r="161" spans="1:21" ht="16.5" customHeight="1">
      <c r="A161" s="159" t="s">
        <v>264</v>
      </c>
      <c r="B161" s="114" t="str">
        <f>VLOOKUP(A161,'Data pick slip'!B:F,5,FALSE)</f>
        <v>KHJ-MC200-00</v>
      </c>
      <c r="F161" s="157" t="s">
        <v>270</v>
      </c>
      <c r="H161" s="138">
        <v>1835</v>
      </c>
      <c r="I161" s="140" t="e">
        <f>VLOOKUP(H161,Stock_list!A:R,18,FALSE)</f>
        <v>#N/A</v>
      </c>
      <c r="J161" s="139" t="e">
        <f>VLOOKUP(H161,Stock_list!A:S,17,FALSE)</f>
        <v>#N/A</v>
      </c>
      <c r="K161" s="51" t="e">
        <f>VLOOKUP(H161,Stock_list!A:T,16,FALSE)</f>
        <v>#N/A</v>
      </c>
      <c r="L161" s="4">
        <v>44978</v>
      </c>
      <c r="M161" s="143">
        <v>2</v>
      </c>
      <c r="P161" s="4" t="e">
        <f>VLOOKUP(H161,Stock_list!A:Y,25,FALSE)</f>
        <v>#N/A</v>
      </c>
      <c r="T161" s="144"/>
      <c r="U161" s="145" t="e">
        <f>VLOOKUP(H161,Stock_list!A:N,14,FALSE)</f>
        <v>#N/A</v>
      </c>
    </row>
    <row r="162" spans="1:21" ht="16.5" customHeight="1">
      <c r="A162" s="159" t="s">
        <v>265</v>
      </c>
      <c r="B162" s="114" t="str">
        <f>VLOOKUP(A162,'Data pick slip'!B:F,5,FALSE)</f>
        <v>KHJ-MC400-00</v>
      </c>
      <c r="F162" s="157" t="s">
        <v>270</v>
      </c>
      <c r="H162" s="138">
        <v>1835</v>
      </c>
      <c r="I162" s="140" t="e">
        <f>VLOOKUP(H162,Stock_list!A:R,18,FALSE)</f>
        <v>#N/A</v>
      </c>
      <c r="J162" s="139" t="e">
        <f>VLOOKUP(H162,Stock_list!A:S,17,FALSE)</f>
        <v>#N/A</v>
      </c>
      <c r="K162" s="51" t="e">
        <f>VLOOKUP(H162,Stock_list!A:T,16,FALSE)</f>
        <v>#N/A</v>
      </c>
      <c r="L162" s="4">
        <v>44978</v>
      </c>
      <c r="M162" s="143">
        <v>1</v>
      </c>
      <c r="P162" s="4" t="e">
        <f>VLOOKUP(H162,Stock_list!A:Y,25,FALSE)</f>
        <v>#N/A</v>
      </c>
      <c r="T162" s="144"/>
      <c r="U162" s="145" t="e">
        <f>VLOOKUP(H162,Stock_list!A:N,14,FALSE)</f>
        <v>#N/A</v>
      </c>
    </row>
    <row r="163" spans="1:21" ht="16.5" customHeight="1">
      <c r="A163" s="159" t="s">
        <v>261</v>
      </c>
      <c r="B163" s="114" t="str">
        <f>VLOOKUP(A163,'Data pick slip'!B:F,5,FALSE)</f>
        <v>KHJ-MC100-00</v>
      </c>
      <c r="F163" s="157" t="s">
        <v>270</v>
      </c>
      <c r="H163" s="138">
        <v>1839</v>
      </c>
      <c r="I163" s="140" t="e">
        <f>VLOOKUP(H163,Stock_list!A:R,18,FALSE)</f>
        <v>#N/A</v>
      </c>
      <c r="J163" s="139" t="e">
        <f>VLOOKUP(H163,Stock_list!A:S,17,FALSE)</f>
        <v>#N/A</v>
      </c>
      <c r="K163" s="51" t="e">
        <f>VLOOKUP(H163,Stock_list!A:T,16,FALSE)</f>
        <v>#N/A</v>
      </c>
      <c r="L163" s="4">
        <v>44991</v>
      </c>
      <c r="M163" s="140">
        <v>30</v>
      </c>
      <c r="P163" s="4" t="e">
        <f>VLOOKUP(H163,Stock_list!A:Y,25,FALSE)</f>
        <v>#N/A</v>
      </c>
      <c r="Q163" s="143"/>
      <c r="T163" s="144"/>
      <c r="U163" s="145" t="e">
        <f>VLOOKUP(H163,Stock_list!A:N,14,FALSE)</f>
        <v>#N/A</v>
      </c>
    </row>
    <row r="164" spans="1:21" ht="16.5" customHeight="1">
      <c r="A164" s="159" t="s">
        <v>261</v>
      </c>
      <c r="B164" s="114" t="str">
        <f>VLOOKUP(A164,'Data pick slip'!B:F,5,FALSE)</f>
        <v>KHJ-MC100-00</v>
      </c>
      <c r="F164" s="157" t="s">
        <v>227</v>
      </c>
      <c r="H164" s="138">
        <v>1840</v>
      </c>
      <c r="I164" s="389" t="e">
        <f>VLOOKUP(H164,Stock_list!A:R,18,FALSE)</f>
        <v>#N/A</v>
      </c>
      <c r="J164" s="139" t="e">
        <f>VLOOKUP(H164,Stock_list!A:S,17,FALSE)</f>
        <v>#N/A</v>
      </c>
      <c r="K164" s="51" t="e">
        <f>VLOOKUP(H164,Stock_list!A:T,16,FALSE)</f>
        <v>#N/A</v>
      </c>
      <c r="L164" s="4">
        <v>45001</v>
      </c>
      <c r="M164" s="140">
        <v>83</v>
      </c>
      <c r="N164" s="143"/>
      <c r="P164" s="4" t="e">
        <f>VLOOKUP(H164,Stock_list!A:Y,25,FALSE)</f>
        <v>#N/A</v>
      </c>
      <c r="T164" s="144"/>
      <c r="U164" s="145" t="e">
        <f>VLOOKUP(H164,Stock_list!A:N,14,FALSE)</f>
        <v>#N/A</v>
      </c>
    </row>
    <row r="165" spans="1:21" ht="16.5" customHeight="1">
      <c r="A165" s="159" t="s">
        <v>264</v>
      </c>
      <c r="B165" s="114" t="str">
        <f>VLOOKUP(A165,'Data pick slip'!B:F,5,FALSE)</f>
        <v>KHJ-MC200-00</v>
      </c>
      <c r="F165" s="157" t="s">
        <v>227</v>
      </c>
      <c r="H165" s="138">
        <v>1840</v>
      </c>
      <c r="I165" s="140" t="e">
        <f>VLOOKUP(H165,Stock_list!A:R,18,FALSE)</f>
        <v>#N/A</v>
      </c>
      <c r="J165" s="139" t="e">
        <f>VLOOKUP(H165,Stock_list!A:S,17,FALSE)</f>
        <v>#N/A</v>
      </c>
      <c r="K165" s="51" t="e">
        <f>VLOOKUP(H165,Stock_list!A:T,16,FALSE)</f>
        <v>#N/A</v>
      </c>
      <c r="L165" s="4">
        <v>45001</v>
      </c>
      <c r="M165" s="140">
        <v>10</v>
      </c>
      <c r="N165" s="143"/>
      <c r="P165" s="4" t="e">
        <f>VLOOKUP(H165,Stock_list!A:Y,25,FALSE)</f>
        <v>#N/A</v>
      </c>
      <c r="T165" s="144"/>
      <c r="U165" s="145" t="e">
        <f>VLOOKUP(H165,Stock_list!A:N,14,FALSE)</f>
        <v>#N/A</v>
      </c>
    </row>
    <row r="166" spans="1:21" ht="16.5" customHeight="1">
      <c r="A166" s="159" t="s">
        <v>265</v>
      </c>
      <c r="B166" s="114" t="str">
        <f>VLOOKUP(A166,'Data pick slip'!B:F,5,FALSE)</f>
        <v>KHJ-MC400-00</v>
      </c>
      <c r="F166" s="157" t="s">
        <v>227</v>
      </c>
      <c r="H166" s="138">
        <v>1840</v>
      </c>
      <c r="I166" s="140" t="e">
        <f>VLOOKUP(H166,Stock_list!A:R,18,FALSE)</f>
        <v>#N/A</v>
      </c>
      <c r="J166" s="139" t="e">
        <f>VLOOKUP(H166,Stock_list!A:S,17,FALSE)</f>
        <v>#N/A</v>
      </c>
      <c r="K166" s="51" t="e">
        <f>VLOOKUP(H166,Stock_list!A:T,16,FALSE)</f>
        <v>#N/A</v>
      </c>
      <c r="L166" s="4">
        <v>45001</v>
      </c>
      <c r="M166" s="140">
        <v>5</v>
      </c>
      <c r="N166" s="143"/>
      <c r="P166" s="4" t="e">
        <f>VLOOKUP(H166,Stock_list!A:Y,25,FALSE)</f>
        <v>#N/A</v>
      </c>
      <c r="T166" s="144"/>
      <c r="U166" s="145" t="e">
        <f>VLOOKUP(H166,Stock_list!A:N,14,FALSE)</f>
        <v>#N/A</v>
      </c>
    </row>
    <row r="167" spans="1:21" ht="16.5" customHeight="1">
      <c r="A167" s="159" t="s">
        <v>266</v>
      </c>
      <c r="B167" s="114" t="str">
        <f>VLOOKUP(A167,'Data pick slip'!B:F,5,FALSE)</f>
        <v>KHJ-MC500-00</v>
      </c>
      <c r="F167" s="157" t="s">
        <v>227</v>
      </c>
      <c r="H167" s="138">
        <v>1840</v>
      </c>
      <c r="I167" s="140" t="e">
        <f>VLOOKUP(H167,Stock_list!A:R,18,FALSE)</f>
        <v>#N/A</v>
      </c>
      <c r="J167" s="139" t="e">
        <f>VLOOKUP(H167,Stock_list!A:S,17,FALSE)</f>
        <v>#N/A</v>
      </c>
      <c r="K167" s="51" t="e">
        <f>VLOOKUP(H167,Stock_list!A:T,16,FALSE)</f>
        <v>#N/A</v>
      </c>
      <c r="L167" s="4">
        <v>45001</v>
      </c>
      <c r="M167" s="140">
        <v>2</v>
      </c>
      <c r="N167" s="143"/>
      <c r="P167" s="4" t="e">
        <f>VLOOKUP(H167,Stock_list!A:Y,25,FALSE)</f>
        <v>#N/A</v>
      </c>
      <c r="T167" s="144"/>
      <c r="U167" s="145" t="e">
        <f>VLOOKUP(H167,Stock_list!A:N,14,FALSE)</f>
        <v>#N/A</v>
      </c>
    </row>
    <row r="168" spans="1:21" ht="16.5" customHeight="1">
      <c r="A168" s="159" t="s">
        <v>272</v>
      </c>
      <c r="B168" s="114" t="str">
        <f>VLOOKUP(A168,'Data pick slip'!B:F,5,FALSE)</f>
        <v>KLJ-MC100-00</v>
      </c>
      <c r="F168" s="157" t="s">
        <v>270</v>
      </c>
      <c r="H168" s="138">
        <v>1842</v>
      </c>
      <c r="I168" s="140" t="e">
        <f>VLOOKUP(H168,Stock_list!A:R,18,FALSE)</f>
        <v>#N/A</v>
      </c>
      <c r="J168" s="139" t="e">
        <f>VLOOKUP(H168,Stock_list!A:S,17,FALSE)</f>
        <v>#N/A</v>
      </c>
      <c r="K168" s="51" t="e">
        <f>VLOOKUP(H168,Stock_list!A:T,16,FALSE)</f>
        <v>#N/A</v>
      </c>
      <c r="L168" s="4">
        <v>45058</v>
      </c>
      <c r="M168" s="140">
        <v>10</v>
      </c>
      <c r="P168" s="4" t="e">
        <f>VLOOKUP(H168,Stock_list!A:Y,25,FALSE)</f>
        <v>#N/A</v>
      </c>
      <c r="Q168" s="143"/>
      <c r="T168" s="144"/>
      <c r="U168" s="145" t="e">
        <f>VLOOKUP(H168,Stock_list!A:N,14,FALSE)</f>
        <v>#N/A</v>
      </c>
    </row>
    <row r="169" spans="1:21" ht="16.5" customHeight="1">
      <c r="A169" s="159" t="s">
        <v>272</v>
      </c>
      <c r="B169" s="114" t="str">
        <f>VLOOKUP(A169,'Data pick slip'!B:F,5,FALSE)</f>
        <v>KLJ-MC100-00</v>
      </c>
      <c r="F169" s="157" t="s">
        <v>270</v>
      </c>
      <c r="H169" s="138">
        <v>1843</v>
      </c>
      <c r="I169" s="140" t="e">
        <f>VLOOKUP(H169,Stock_list!A:R,18,FALSE)</f>
        <v>#N/A</v>
      </c>
      <c r="J169" s="139" t="e">
        <f>VLOOKUP(H169,Stock_list!A:S,17,FALSE)</f>
        <v>#N/A</v>
      </c>
      <c r="K169" s="51" t="e">
        <f>VLOOKUP(H169,Stock_list!A:T,16,FALSE)</f>
        <v>#N/A</v>
      </c>
      <c r="L169" s="4">
        <v>45058</v>
      </c>
      <c r="M169" s="140">
        <v>60</v>
      </c>
      <c r="P169" s="4" t="e">
        <f>VLOOKUP(H169,Stock_list!A:Y,25,FALSE)</f>
        <v>#N/A</v>
      </c>
      <c r="Q169" s="143"/>
      <c r="T169" s="144"/>
      <c r="U169" s="145" t="e">
        <f>VLOOKUP(H169,Stock_list!A:N,14,FALSE)</f>
        <v>#N/A</v>
      </c>
    </row>
    <row r="170" spans="1:21" ht="16.5" customHeight="1">
      <c r="A170" s="159" t="s">
        <v>261</v>
      </c>
      <c r="B170" s="114" t="str">
        <f>VLOOKUP(A170,'Data pick slip'!B:F,5,FALSE)</f>
        <v>KHJ-MC100-00</v>
      </c>
      <c r="F170" s="157" t="s">
        <v>270</v>
      </c>
      <c r="H170" s="138">
        <v>1846</v>
      </c>
      <c r="I170" s="140" t="e">
        <f>VLOOKUP(H170,Stock_list!A:R,18,FALSE)</f>
        <v>#N/A</v>
      </c>
      <c r="J170" s="139" t="e">
        <f>VLOOKUP(H170,Stock_list!A:S,17,FALSE)</f>
        <v>#N/A</v>
      </c>
      <c r="K170" s="51" t="e">
        <f>VLOOKUP(H170,Stock_list!A:T,16,FALSE)</f>
        <v>#N/A</v>
      </c>
      <c r="L170" s="4">
        <v>45007</v>
      </c>
      <c r="M170" s="140">
        <v>10</v>
      </c>
      <c r="P170" s="4" t="e">
        <f>VLOOKUP(H170,Stock_list!A:Y,25,FALSE)</f>
        <v>#N/A</v>
      </c>
      <c r="Q170" s="143"/>
      <c r="T170" s="144"/>
      <c r="U170" s="145" t="e">
        <f>VLOOKUP(H170,Stock_list!A:N,14,FALSE)</f>
        <v>#N/A</v>
      </c>
    </row>
    <row r="171" spans="1:21" ht="16.5" customHeight="1">
      <c r="A171" s="159" t="s">
        <v>265</v>
      </c>
      <c r="B171" s="114" t="str">
        <f>VLOOKUP(A171,'Data pick slip'!B:F,5,FALSE)</f>
        <v>KHJ-MC400-00</v>
      </c>
      <c r="F171" s="157" t="s">
        <v>270</v>
      </c>
      <c r="H171" s="138">
        <v>1846</v>
      </c>
      <c r="I171" s="140" t="e">
        <f>VLOOKUP(H171,Stock_list!A:R,18,FALSE)</f>
        <v>#N/A</v>
      </c>
      <c r="J171" s="139" t="e">
        <f>VLOOKUP(H171,Stock_list!A:S,17,FALSE)</f>
        <v>#N/A</v>
      </c>
      <c r="K171" s="51" t="e">
        <f>VLOOKUP(H171,Stock_list!A:T,16,FALSE)</f>
        <v>#N/A</v>
      </c>
      <c r="L171" s="4">
        <v>45007</v>
      </c>
      <c r="M171" s="140">
        <v>1</v>
      </c>
      <c r="P171" s="4" t="e">
        <f>VLOOKUP(H171,Stock_list!A:Y,25,FALSE)</f>
        <v>#N/A</v>
      </c>
      <c r="Q171" s="143"/>
      <c r="T171" s="144"/>
      <c r="U171" s="145" t="e">
        <f>VLOOKUP(H171,Stock_list!A:N,14,FALSE)</f>
        <v>#N/A</v>
      </c>
    </row>
    <row r="172" spans="1:21" ht="16.5" customHeight="1">
      <c r="A172" s="159" t="s">
        <v>261</v>
      </c>
      <c r="B172" s="114" t="str">
        <f>VLOOKUP(A172,'Data pick slip'!B:F,5,FALSE)</f>
        <v>KHJ-MC100-00</v>
      </c>
      <c r="F172" s="157" t="s">
        <v>270</v>
      </c>
      <c r="H172" s="138">
        <v>1849</v>
      </c>
      <c r="I172" s="140" t="e">
        <f>VLOOKUP(H172,Stock_list!A:R,18,FALSE)</f>
        <v>#N/A</v>
      </c>
      <c r="J172" s="139" t="e">
        <f>VLOOKUP(H172,Stock_list!A:S,17,FALSE)</f>
        <v>#N/A</v>
      </c>
      <c r="K172" s="51" t="e">
        <f>VLOOKUP(H172,Stock_list!A:T,16,FALSE)</f>
        <v>#N/A</v>
      </c>
      <c r="L172" s="4">
        <v>45031</v>
      </c>
      <c r="M172" s="132">
        <v>100</v>
      </c>
      <c r="P172" s="4" t="e">
        <f>VLOOKUP(H172,Stock_list!A:Y,25,FALSE)</f>
        <v>#N/A</v>
      </c>
      <c r="Q172" s="143"/>
      <c r="T172" s="144"/>
      <c r="U172" s="145" t="e">
        <f>VLOOKUP(H172,Stock_list!A:N,14,FALSE)</f>
        <v>#N/A</v>
      </c>
    </row>
    <row r="173" spans="1:21" ht="16.5" customHeight="1">
      <c r="A173" s="159" t="s">
        <v>264</v>
      </c>
      <c r="B173" s="114" t="str">
        <f>VLOOKUP(A173,'Data pick slip'!B:F,5,FALSE)</f>
        <v>KHJ-MC200-00</v>
      </c>
      <c r="F173" s="157" t="s">
        <v>270</v>
      </c>
      <c r="H173" s="138">
        <v>1849</v>
      </c>
      <c r="I173" s="140" t="e">
        <f>VLOOKUP(H173,Stock_list!A:R,18,FALSE)</f>
        <v>#N/A</v>
      </c>
      <c r="J173" s="139" t="e">
        <f>VLOOKUP(H173,Stock_list!A:S,17,FALSE)</f>
        <v>#N/A</v>
      </c>
      <c r="K173" s="51" t="e">
        <f>VLOOKUP(H173,Stock_list!A:T,16,FALSE)</f>
        <v>#N/A</v>
      </c>
      <c r="L173" s="4">
        <v>45031</v>
      </c>
      <c r="M173" s="132">
        <v>15</v>
      </c>
      <c r="P173" s="4" t="e">
        <f>VLOOKUP(H173,Stock_list!A:Y,25,FALSE)</f>
        <v>#N/A</v>
      </c>
      <c r="Q173" s="143"/>
      <c r="T173" s="144"/>
      <c r="U173" s="145" t="e">
        <f>VLOOKUP(H173,Stock_list!A:N,14,FALSE)</f>
        <v>#N/A</v>
      </c>
    </row>
    <row r="174" spans="1:21" ht="16.5" customHeight="1">
      <c r="A174" s="159" t="s">
        <v>265</v>
      </c>
      <c r="B174" s="114" t="str">
        <f>VLOOKUP(A174,'Data pick slip'!B:F,5,FALSE)</f>
        <v>KHJ-MC400-00</v>
      </c>
      <c r="F174" s="157" t="s">
        <v>270</v>
      </c>
      <c r="H174" s="138">
        <v>1849</v>
      </c>
      <c r="I174" s="140" t="e">
        <f>VLOOKUP(H174,Stock_list!A:R,18,FALSE)</f>
        <v>#N/A</v>
      </c>
      <c r="J174" s="139" t="e">
        <f>VLOOKUP(H174,Stock_list!A:S,17,FALSE)</f>
        <v>#N/A</v>
      </c>
      <c r="K174" s="51" t="e">
        <f>VLOOKUP(H174,Stock_list!A:T,16,FALSE)</f>
        <v>#N/A</v>
      </c>
      <c r="L174" s="4">
        <v>45031</v>
      </c>
      <c r="M174" s="132">
        <v>2</v>
      </c>
      <c r="P174" s="4" t="e">
        <f>VLOOKUP(H174,Stock_list!A:Y,25,FALSE)</f>
        <v>#N/A</v>
      </c>
      <c r="Q174" s="143"/>
      <c r="T174" s="144"/>
      <c r="U174" s="145" t="e">
        <f>VLOOKUP(H174,Stock_list!A:N,14,FALSE)</f>
        <v>#N/A</v>
      </c>
    </row>
    <row r="175" spans="1:21" ht="16.5" customHeight="1">
      <c r="A175" s="159" t="s">
        <v>266</v>
      </c>
      <c r="B175" s="114" t="str">
        <f>VLOOKUP(A175,'Data pick slip'!B:F,5,FALSE)</f>
        <v>KHJ-MC500-00</v>
      </c>
      <c r="F175" s="157" t="s">
        <v>270</v>
      </c>
      <c r="H175" s="138">
        <v>1849</v>
      </c>
      <c r="I175" s="140" t="e">
        <f>VLOOKUP(H175,Stock_list!A:R,18,FALSE)</f>
        <v>#N/A</v>
      </c>
      <c r="J175" s="139" t="e">
        <f>VLOOKUP(H175,Stock_list!A:S,17,FALSE)</f>
        <v>#N/A</v>
      </c>
      <c r="K175" s="51" t="e">
        <f>VLOOKUP(H175,Stock_list!A:T,16,FALSE)</f>
        <v>#N/A</v>
      </c>
      <c r="L175" s="4">
        <v>45031</v>
      </c>
      <c r="M175" s="132">
        <v>2</v>
      </c>
      <c r="P175" s="4" t="e">
        <f>VLOOKUP(H175,Stock_list!A:Y,25,FALSE)</f>
        <v>#N/A</v>
      </c>
      <c r="Q175" s="143"/>
      <c r="T175" s="144"/>
      <c r="U175" s="145" t="e">
        <f>VLOOKUP(H175,Stock_list!A:N,14,FALSE)</f>
        <v>#N/A</v>
      </c>
    </row>
    <row r="176" spans="1:21" ht="16.5" customHeight="1">
      <c r="A176" s="159" t="s">
        <v>267</v>
      </c>
      <c r="B176" s="114" t="str">
        <f>VLOOKUP(A176,'Data pick slip'!B:F,5,FALSE)</f>
        <v>KHJ-MC600-00</v>
      </c>
      <c r="F176" s="157" t="s">
        <v>270</v>
      </c>
      <c r="H176" s="138">
        <v>1850</v>
      </c>
      <c r="I176" s="140" t="e">
        <f>VLOOKUP(H176,Stock_list!A:R,18,FALSE)</f>
        <v>#N/A</v>
      </c>
      <c r="J176" s="139" t="e">
        <f>VLOOKUP(H176,Stock_list!A:S,17,FALSE)</f>
        <v>#N/A</v>
      </c>
      <c r="K176" s="51" t="e">
        <f>VLOOKUP(H176,Stock_list!A:T,16,FALSE)</f>
        <v>#N/A</v>
      </c>
      <c r="L176" s="4">
        <v>44999</v>
      </c>
      <c r="M176" s="140">
        <v>1</v>
      </c>
      <c r="P176" s="4" t="e">
        <f>VLOOKUP(H176,Stock_list!A:Y,25,FALSE)</f>
        <v>#N/A</v>
      </c>
      <c r="Q176" s="143"/>
      <c r="T176" s="144"/>
      <c r="U176" s="145" t="e">
        <f>VLOOKUP(H176,Stock_list!A:N,14,FALSE)</f>
        <v>#N/A</v>
      </c>
    </row>
    <row r="177" spans="1:21" ht="16.5" customHeight="1">
      <c r="A177" s="159" t="s">
        <v>261</v>
      </c>
      <c r="B177" s="114" t="str">
        <f>VLOOKUP(A177,'Data pick slip'!B:F,5,FALSE)</f>
        <v>KHJ-MC100-00</v>
      </c>
      <c r="F177" s="157" t="s">
        <v>270</v>
      </c>
      <c r="H177" s="138">
        <v>1852</v>
      </c>
      <c r="I177" s="140" t="e">
        <f>VLOOKUP(H177,Stock_list!A:R,18,FALSE)</f>
        <v>#N/A</v>
      </c>
      <c r="J177" s="139" t="e">
        <f>VLOOKUP(H177,Stock_list!A:S,17,FALSE)</f>
        <v>#N/A</v>
      </c>
      <c r="K177" s="51" t="e">
        <f>VLOOKUP(H177,Stock_list!A:T,16,FALSE)</f>
        <v>#N/A</v>
      </c>
      <c r="L177" s="4">
        <v>45028</v>
      </c>
      <c r="M177" s="132">
        <v>100</v>
      </c>
      <c r="P177" s="4" t="e">
        <f>VLOOKUP(H177,Stock_list!A:Y,25,FALSE)</f>
        <v>#N/A</v>
      </c>
      <c r="Q177" s="143"/>
      <c r="T177" s="144"/>
      <c r="U177" s="145" t="e">
        <f>VLOOKUP(H177,Stock_list!A:N,14,FALSE)</f>
        <v>#N/A</v>
      </c>
    </row>
    <row r="178" spans="1:21" ht="16.5" customHeight="1">
      <c r="A178" s="159" t="s">
        <v>264</v>
      </c>
      <c r="B178" s="114" t="str">
        <f>VLOOKUP(A178,'Data pick slip'!B:F,5,FALSE)</f>
        <v>KHJ-MC200-00</v>
      </c>
      <c r="F178" s="157" t="s">
        <v>270</v>
      </c>
      <c r="H178" s="138">
        <v>1852</v>
      </c>
      <c r="I178" s="140" t="e">
        <f>VLOOKUP(H178,Stock_list!A:R,18,FALSE)</f>
        <v>#N/A</v>
      </c>
      <c r="J178" s="139" t="e">
        <f>VLOOKUP(H178,Stock_list!A:S,17,FALSE)</f>
        <v>#N/A</v>
      </c>
      <c r="K178" s="51" t="e">
        <f>VLOOKUP(H178,Stock_list!A:T,16,FALSE)</f>
        <v>#N/A</v>
      </c>
      <c r="L178" s="4">
        <v>45028</v>
      </c>
      <c r="M178" s="132">
        <v>8</v>
      </c>
      <c r="P178" s="4" t="e">
        <f>VLOOKUP(H178,Stock_list!A:Y,25,FALSE)</f>
        <v>#N/A</v>
      </c>
      <c r="Q178" s="143"/>
      <c r="T178" s="144"/>
      <c r="U178" s="145" t="e">
        <f>VLOOKUP(H178,Stock_list!A:N,14,FALSE)</f>
        <v>#N/A</v>
      </c>
    </row>
    <row r="179" spans="1:21" ht="16.5" customHeight="1">
      <c r="A179" s="159" t="s">
        <v>265</v>
      </c>
      <c r="B179" s="114" t="str">
        <f>VLOOKUP(A179,'Data pick slip'!B:F,5,FALSE)</f>
        <v>KHJ-MC400-00</v>
      </c>
      <c r="F179" s="157" t="s">
        <v>270</v>
      </c>
      <c r="H179" s="138">
        <v>1852</v>
      </c>
      <c r="I179" s="140" t="e">
        <f>VLOOKUP(H179,Stock_list!A:R,18,FALSE)</f>
        <v>#N/A</v>
      </c>
      <c r="J179" s="139" t="e">
        <f>VLOOKUP(H179,Stock_list!A:S,17,FALSE)</f>
        <v>#N/A</v>
      </c>
      <c r="K179" s="51" t="e">
        <f>VLOOKUP(H179,Stock_list!A:T,16,FALSE)</f>
        <v>#N/A</v>
      </c>
      <c r="L179" s="4">
        <v>45028</v>
      </c>
      <c r="M179" s="132">
        <v>2</v>
      </c>
      <c r="P179" s="4" t="e">
        <f>VLOOKUP(H179,Stock_list!A:Y,25,FALSE)</f>
        <v>#N/A</v>
      </c>
      <c r="Q179" s="143"/>
      <c r="T179" s="144"/>
      <c r="U179" s="145" t="e">
        <f>VLOOKUP(H179,Stock_list!A:N,14,FALSE)</f>
        <v>#N/A</v>
      </c>
    </row>
    <row r="180" spans="1:21" ht="16.5" customHeight="1">
      <c r="A180" s="159" t="s">
        <v>261</v>
      </c>
      <c r="B180" s="114" t="str">
        <f>VLOOKUP(A180,'Data pick slip'!B:F,5,FALSE)</f>
        <v>KHJ-MC100-00</v>
      </c>
      <c r="F180" s="157" t="s">
        <v>270</v>
      </c>
      <c r="H180" s="138">
        <v>1854</v>
      </c>
      <c r="I180" s="140" t="e">
        <f>VLOOKUP(H180,Stock_list!A:R,18,FALSE)</f>
        <v>#N/A</v>
      </c>
      <c r="J180" s="139" t="e">
        <f>VLOOKUP(H180,Stock_list!A:S,17,FALSE)</f>
        <v>#N/A</v>
      </c>
      <c r="K180" s="51" t="e">
        <f>VLOOKUP(H180,Stock_list!A:T,16,FALSE)</f>
        <v>#N/A</v>
      </c>
      <c r="L180" s="4">
        <v>44987</v>
      </c>
      <c r="M180" s="140">
        <v>20</v>
      </c>
      <c r="P180" s="4" t="e">
        <f>VLOOKUP(H180,Stock_list!A:Y,25,FALSE)</f>
        <v>#N/A</v>
      </c>
      <c r="Q180" s="143"/>
      <c r="T180" s="144"/>
      <c r="U180" s="145" t="e">
        <f>VLOOKUP(H180,Stock_list!A:N,14,FALSE)</f>
        <v>#N/A</v>
      </c>
    </row>
    <row r="181" spans="1:21" ht="16.5" customHeight="1">
      <c r="A181" s="159" t="s">
        <v>264</v>
      </c>
      <c r="B181" s="114" t="str">
        <f>VLOOKUP(A181,'Data pick slip'!B:F,5,FALSE)</f>
        <v>KHJ-MC200-00</v>
      </c>
      <c r="F181" s="157" t="s">
        <v>270</v>
      </c>
      <c r="H181" s="138">
        <v>1854</v>
      </c>
      <c r="I181" s="140" t="e">
        <f>VLOOKUP(H181,Stock_list!A:R,18,FALSE)</f>
        <v>#N/A</v>
      </c>
      <c r="J181" s="139" t="e">
        <f>VLOOKUP(H181,Stock_list!A:S,17,FALSE)</f>
        <v>#N/A</v>
      </c>
      <c r="K181" s="51" t="e">
        <f>VLOOKUP(H181,Stock_list!A:T,16,FALSE)</f>
        <v>#N/A</v>
      </c>
      <c r="L181" s="4">
        <v>44987</v>
      </c>
      <c r="M181" s="140">
        <v>8</v>
      </c>
      <c r="P181" s="4" t="e">
        <f>VLOOKUP(H181,Stock_list!A:Y,25,FALSE)</f>
        <v>#N/A</v>
      </c>
      <c r="Q181" s="143"/>
      <c r="T181" s="144"/>
      <c r="U181" s="145" t="e">
        <f>VLOOKUP(H181,Stock_list!A:N,14,FALSE)</f>
        <v>#N/A</v>
      </c>
    </row>
    <row r="182" spans="1:21" ht="16.5" customHeight="1">
      <c r="A182" s="159" t="s">
        <v>265</v>
      </c>
      <c r="B182" s="114" t="str">
        <f>VLOOKUP(A182,'Data pick slip'!B:F,5,FALSE)</f>
        <v>KHJ-MC400-00</v>
      </c>
      <c r="F182" s="157" t="s">
        <v>270</v>
      </c>
      <c r="H182" s="138">
        <v>1854</v>
      </c>
      <c r="I182" s="140" t="e">
        <f>VLOOKUP(H182,Stock_list!A:R,18,FALSE)</f>
        <v>#N/A</v>
      </c>
      <c r="J182" s="139" t="e">
        <f>VLOOKUP(H182,Stock_list!A:S,17,FALSE)</f>
        <v>#N/A</v>
      </c>
      <c r="K182" s="51" t="e">
        <f>VLOOKUP(H182,Stock_list!A:T,16,FALSE)</f>
        <v>#N/A</v>
      </c>
      <c r="L182" s="4">
        <v>44987</v>
      </c>
      <c r="M182" s="140">
        <v>4</v>
      </c>
      <c r="P182" s="4" t="e">
        <f>VLOOKUP(H182,Stock_list!A:Y,25,FALSE)</f>
        <v>#N/A</v>
      </c>
      <c r="Q182" s="143"/>
      <c r="T182" s="144"/>
      <c r="U182" s="145" t="e">
        <f>VLOOKUP(H182,Stock_list!A:N,14,FALSE)</f>
        <v>#N/A</v>
      </c>
    </row>
    <row r="183" spans="1:21" ht="16.5" customHeight="1">
      <c r="A183" s="159" t="s">
        <v>268</v>
      </c>
      <c r="B183" s="114" t="str">
        <f>VLOOKUP(A183,'Data pick slip'!B:F,5,FALSE)</f>
        <v>KHJ-MC700-00</v>
      </c>
      <c r="F183" s="157" t="s">
        <v>270</v>
      </c>
      <c r="H183" s="138">
        <v>1788</v>
      </c>
      <c r="I183" s="140" t="e">
        <f>VLOOKUP(H183,Stock_list!A:R,18,FALSE)</f>
        <v>#N/A</v>
      </c>
      <c r="J183" s="139" t="e">
        <f>VLOOKUP(H183,Stock_list!A:S,17,FALSE)</f>
        <v>#N/A</v>
      </c>
      <c r="K183" s="51" t="e">
        <f>VLOOKUP(H183,Stock_list!A:T,16,FALSE)</f>
        <v>#N/A</v>
      </c>
      <c r="L183" s="291">
        <v>45013</v>
      </c>
      <c r="M183" s="140">
        <v>1</v>
      </c>
      <c r="P183" s="4" t="e">
        <f>VLOOKUP(H183,Stock_list!A:Y,25,FALSE)</f>
        <v>#N/A</v>
      </c>
      <c r="Q183" s="143"/>
      <c r="S183" s="268" t="s">
        <v>295</v>
      </c>
      <c r="T183" s="266" t="s">
        <v>297</v>
      </c>
      <c r="U183" s="145"/>
    </row>
    <row r="184" spans="1:21" ht="16.5" customHeight="1">
      <c r="A184" s="159" t="s">
        <v>275</v>
      </c>
      <c r="B184" s="114" t="str">
        <f>VLOOKUP(A184,'Data pick slip'!B:F,5,FALSE)</f>
        <v>KLJ-MC500-00</v>
      </c>
      <c r="F184" s="157" t="s">
        <v>270</v>
      </c>
      <c r="H184" s="138">
        <v>1854</v>
      </c>
      <c r="I184" s="336" t="e">
        <f>VLOOKUP(H184,Stock_list!A:R,18,FALSE)</f>
        <v>#N/A</v>
      </c>
      <c r="J184" s="333" t="e">
        <f>VLOOKUP(H184,Stock_list!A:S,17,FALSE)</f>
        <v>#N/A</v>
      </c>
      <c r="K184" s="334" t="e">
        <f>VLOOKUP(H184,Stock_list!A:T,16,FALSE)</f>
        <v>#N/A</v>
      </c>
      <c r="L184" s="335" t="s">
        <v>298</v>
      </c>
      <c r="M184" s="336">
        <v>4</v>
      </c>
      <c r="P184" s="4" t="e">
        <f>VLOOKUP(H184,Stock_list!A:Y,25,FALSE)</f>
        <v>#N/A</v>
      </c>
      <c r="Q184" s="143"/>
      <c r="T184" s="144"/>
      <c r="U184" s="145"/>
    </row>
    <row r="185" spans="1:21" ht="16.5" customHeight="1">
      <c r="A185" s="159" t="s">
        <v>276</v>
      </c>
      <c r="B185" s="114" t="str">
        <f>VLOOKUP(A185,'Data pick slip'!B:F,5,FALSE)</f>
        <v>KLJ-MC600-00</v>
      </c>
      <c r="F185" s="157" t="s">
        <v>270</v>
      </c>
      <c r="H185" s="138">
        <v>1854</v>
      </c>
      <c r="I185" s="336" t="e">
        <f>VLOOKUP(H185,Stock_list!A:R,18,FALSE)</f>
        <v>#N/A</v>
      </c>
      <c r="J185" s="333" t="e">
        <f>VLOOKUP(H185,Stock_list!A:S,17,FALSE)</f>
        <v>#N/A</v>
      </c>
      <c r="K185" s="334" t="e">
        <f>VLOOKUP(H185,Stock_list!A:T,16,FALSE)</f>
        <v>#N/A</v>
      </c>
      <c r="L185" s="335" t="s">
        <v>298</v>
      </c>
      <c r="M185" s="336">
        <v>3</v>
      </c>
      <c r="P185" s="4" t="e">
        <f>VLOOKUP(H185,Stock_list!A:Y,25,FALSE)</f>
        <v>#N/A</v>
      </c>
      <c r="Q185" s="143"/>
      <c r="T185" s="144"/>
      <c r="U185" s="145"/>
    </row>
    <row r="186" spans="1:21" ht="16.5" customHeight="1">
      <c r="A186" s="159" t="s">
        <v>261</v>
      </c>
      <c r="B186" s="114" t="str">
        <f>VLOOKUP(A186,'Data pick slip'!B:F,5,FALSE)</f>
        <v>KHJ-MC100-00</v>
      </c>
      <c r="F186" s="157" t="s">
        <v>270</v>
      </c>
      <c r="H186" s="138">
        <v>1855</v>
      </c>
      <c r="I186" s="140" t="e">
        <f>VLOOKUP(H186,Stock_list!A:R,18,FALSE)</f>
        <v>#N/A</v>
      </c>
      <c r="J186" s="139" t="e">
        <f>VLOOKUP(H186,Stock_list!A:S,17,FALSE)</f>
        <v>#N/A</v>
      </c>
      <c r="K186" s="51" t="e">
        <f>VLOOKUP(H186,Stock_list!A:T,16,FALSE)</f>
        <v>#N/A</v>
      </c>
      <c r="L186" s="4">
        <v>45089</v>
      </c>
      <c r="M186" s="143">
        <v>9</v>
      </c>
      <c r="P186" s="4" t="e">
        <f>VLOOKUP(H186,Stock_list!A:Y,25,FALSE)</f>
        <v>#N/A</v>
      </c>
      <c r="T186" s="144"/>
      <c r="U186" s="145" t="e">
        <f>VLOOKUP(H186,Stock_list!A:N,14,FALSE)</f>
        <v>#N/A</v>
      </c>
    </row>
    <row r="187" spans="1:21" ht="16.5" customHeight="1">
      <c r="A187" s="159" t="s">
        <v>264</v>
      </c>
      <c r="B187" s="114" t="str">
        <f>VLOOKUP(A187,'Data pick slip'!B:F,5,FALSE)</f>
        <v>KHJ-MC200-00</v>
      </c>
      <c r="F187" s="157" t="s">
        <v>270</v>
      </c>
      <c r="H187" s="138">
        <v>1855</v>
      </c>
      <c r="I187" s="140" t="e">
        <f>VLOOKUP(H187,Stock_list!A:R,18,FALSE)</f>
        <v>#N/A</v>
      </c>
      <c r="J187" s="139" t="e">
        <f>VLOOKUP(H187,Stock_list!A:S,17,FALSE)</f>
        <v>#N/A</v>
      </c>
      <c r="K187" s="51" t="e">
        <f>VLOOKUP(H187,Stock_list!A:T,16,FALSE)</f>
        <v>#N/A</v>
      </c>
      <c r="L187" s="4">
        <v>45089</v>
      </c>
      <c r="M187" s="143">
        <v>4</v>
      </c>
      <c r="P187" s="4" t="e">
        <f>VLOOKUP(H187,Stock_list!A:Y,25,FALSE)</f>
        <v>#N/A</v>
      </c>
      <c r="T187" s="144"/>
      <c r="U187" s="145" t="e">
        <f>VLOOKUP(H187,Stock_list!A:N,14,FALSE)</f>
        <v>#N/A</v>
      </c>
    </row>
    <row r="188" spans="1:21" ht="16.5" customHeight="1">
      <c r="A188" s="159" t="s">
        <v>265</v>
      </c>
      <c r="B188" s="114" t="str">
        <f>VLOOKUP(A188,'Data pick slip'!B:F,5,FALSE)</f>
        <v>KHJ-MC400-00</v>
      </c>
      <c r="F188" s="157" t="s">
        <v>270</v>
      </c>
      <c r="H188" s="138">
        <v>1855</v>
      </c>
      <c r="I188" s="140" t="e">
        <f>VLOOKUP(H188,Stock_list!A:R,18,FALSE)</f>
        <v>#N/A</v>
      </c>
      <c r="J188" s="139" t="e">
        <f>VLOOKUP(H188,Stock_list!A:S,17,FALSE)</f>
        <v>#N/A</v>
      </c>
      <c r="K188" s="51" t="e">
        <f>VLOOKUP(H188,Stock_list!A:T,16,FALSE)</f>
        <v>#N/A</v>
      </c>
      <c r="L188" s="4">
        <v>45089</v>
      </c>
      <c r="M188" s="143">
        <v>3</v>
      </c>
      <c r="P188" s="4" t="e">
        <f>VLOOKUP(H188,Stock_list!A:Y,25,FALSE)</f>
        <v>#N/A</v>
      </c>
      <c r="T188" s="144"/>
      <c r="U188" s="145" t="e">
        <f>VLOOKUP(H188,Stock_list!A:N,14,FALSE)</f>
        <v>#N/A</v>
      </c>
    </row>
    <row r="189" spans="1:21" ht="16.5" customHeight="1">
      <c r="A189" s="159" t="s">
        <v>266</v>
      </c>
      <c r="B189" s="114" t="str">
        <f>VLOOKUP(A189,'Data pick slip'!B:F,5,FALSE)</f>
        <v>KHJ-MC500-00</v>
      </c>
      <c r="F189" s="157" t="s">
        <v>270</v>
      </c>
      <c r="H189" s="138">
        <v>1855</v>
      </c>
      <c r="I189" s="140" t="e">
        <f>VLOOKUP(H189,Stock_list!A:R,18,FALSE)</f>
        <v>#N/A</v>
      </c>
      <c r="J189" s="139" t="e">
        <f>VLOOKUP(H189,Stock_list!A:S,17,FALSE)</f>
        <v>#N/A</v>
      </c>
      <c r="K189" s="51" t="e">
        <f>VLOOKUP(H189,Stock_list!A:T,16,FALSE)</f>
        <v>#N/A</v>
      </c>
      <c r="L189" s="4">
        <v>45089</v>
      </c>
      <c r="M189" s="143">
        <v>3</v>
      </c>
      <c r="P189" s="4" t="e">
        <f>VLOOKUP(H189,Stock_list!A:Y,25,FALSE)</f>
        <v>#N/A</v>
      </c>
      <c r="T189" s="144"/>
      <c r="U189" s="145" t="e">
        <f>VLOOKUP(H189,Stock_list!A:N,14,FALSE)</f>
        <v>#N/A</v>
      </c>
    </row>
    <row r="190" spans="1:21" ht="16.5" customHeight="1">
      <c r="A190" s="159" t="s">
        <v>267</v>
      </c>
      <c r="B190" s="114" t="str">
        <f>VLOOKUP(A190,'Data pick slip'!B:F,5,FALSE)</f>
        <v>KHJ-MC600-00</v>
      </c>
      <c r="F190" s="157" t="s">
        <v>270</v>
      </c>
      <c r="H190" s="138">
        <v>1855</v>
      </c>
      <c r="I190" s="140" t="e">
        <f>VLOOKUP(H190,Stock_list!A:R,18,FALSE)</f>
        <v>#N/A</v>
      </c>
      <c r="J190" s="139" t="e">
        <f>VLOOKUP(H190,Stock_list!A:S,17,FALSE)</f>
        <v>#N/A</v>
      </c>
      <c r="K190" s="51" t="e">
        <f>VLOOKUP(H190,Stock_list!A:T,16,FALSE)</f>
        <v>#N/A</v>
      </c>
      <c r="L190" s="4">
        <v>45089</v>
      </c>
      <c r="M190" s="143">
        <v>2</v>
      </c>
      <c r="P190" s="4" t="e">
        <f>VLOOKUP(H190,Stock_list!A:Y,25,FALSE)</f>
        <v>#N/A</v>
      </c>
      <c r="T190" s="144"/>
      <c r="U190" s="145" t="e">
        <f>VLOOKUP(H190,Stock_list!A:N,14,FALSE)</f>
        <v>#N/A</v>
      </c>
    </row>
    <row r="191" spans="1:21" ht="16.5" customHeight="1">
      <c r="A191" s="159" t="s">
        <v>268</v>
      </c>
      <c r="B191" s="114" t="str">
        <f>VLOOKUP(A191,'Data pick slip'!B:F,5,FALSE)</f>
        <v>KHJ-MC700-00</v>
      </c>
      <c r="F191" s="157" t="s">
        <v>270</v>
      </c>
      <c r="H191" s="138">
        <v>1855</v>
      </c>
      <c r="I191" s="140" t="e">
        <f>VLOOKUP(H191,Stock_list!A:R,18,FALSE)</f>
        <v>#N/A</v>
      </c>
      <c r="J191" s="139" t="e">
        <f>VLOOKUP(H191,Stock_list!A:S,17,FALSE)</f>
        <v>#N/A</v>
      </c>
      <c r="K191" s="51" t="e">
        <f>VLOOKUP(H191,Stock_list!A:T,16,FALSE)</f>
        <v>#N/A</v>
      </c>
      <c r="L191" s="4">
        <v>45089</v>
      </c>
      <c r="M191" s="143">
        <v>2</v>
      </c>
      <c r="P191" s="4" t="e">
        <f>VLOOKUP(H191,Stock_list!A:Y,25,FALSE)</f>
        <v>#N/A</v>
      </c>
      <c r="T191" s="144"/>
      <c r="U191" s="145" t="e">
        <f>VLOOKUP(H191,Stock_list!A:N,14,FALSE)</f>
        <v>#N/A</v>
      </c>
    </row>
    <row r="192" spans="1:21" ht="16.5" customHeight="1">
      <c r="A192" s="159" t="s">
        <v>269</v>
      </c>
      <c r="B192" s="114" t="str">
        <f>VLOOKUP(A192,'Data pick slip'!B:F,5,FALSE)</f>
        <v>KHJ-MC800-00</v>
      </c>
      <c r="F192" s="157" t="s">
        <v>270</v>
      </c>
      <c r="H192" s="138">
        <v>1855</v>
      </c>
      <c r="I192" s="140" t="e">
        <f>VLOOKUP(H192,Stock_list!A:R,18,FALSE)</f>
        <v>#N/A</v>
      </c>
      <c r="J192" s="139" t="e">
        <f>VLOOKUP(H192,Stock_list!A:S,17,FALSE)</f>
        <v>#N/A</v>
      </c>
      <c r="K192" s="51" t="e">
        <f>VLOOKUP(H192,Stock_list!A:T,16,FALSE)</f>
        <v>#N/A</v>
      </c>
      <c r="L192" s="4">
        <v>45089</v>
      </c>
      <c r="M192" s="143">
        <v>1</v>
      </c>
      <c r="P192" s="4" t="e">
        <f>VLOOKUP(H192,Stock_list!A:Y,25,FALSE)</f>
        <v>#N/A</v>
      </c>
      <c r="T192" s="144"/>
      <c r="U192" s="145" t="e">
        <f>VLOOKUP(H192,Stock_list!A:N,14,FALSE)</f>
        <v>#N/A</v>
      </c>
    </row>
    <row r="193" spans="1:21" ht="16.5" customHeight="1">
      <c r="A193" s="159" t="s">
        <v>278</v>
      </c>
      <c r="B193" s="114" t="str">
        <f>VLOOKUP(A193,'Data pick slip'!B:F,5,FALSE)</f>
        <v>KLJ-MC800-00</v>
      </c>
      <c r="F193" s="157" t="s">
        <v>270</v>
      </c>
      <c r="H193" s="138">
        <v>1855</v>
      </c>
      <c r="I193" s="140" t="e">
        <f>VLOOKUP(H193,Stock_list!A:R,18,FALSE)</f>
        <v>#N/A</v>
      </c>
      <c r="J193" s="139" t="e">
        <f>VLOOKUP(H193,Stock_list!A:S,17,FALSE)</f>
        <v>#N/A</v>
      </c>
      <c r="K193" s="51" t="e">
        <f>VLOOKUP(H193,Stock_list!A:T,16,FALSE)</f>
        <v>#N/A</v>
      </c>
      <c r="L193" s="4">
        <v>45089</v>
      </c>
      <c r="M193" s="143">
        <v>1</v>
      </c>
      <c r="P193" s="4" t="e">
        <f>VLOOKUP(H193,Stock_list!A:Y,25,FALSE)</f>
        <v>#N/A</v>
      </c>
      <c r="T193" s="144"/>
      <c r="U193" s="145" t="e">
        <f>VLOOKUP(H193,Stock_list!A:N,14,FALSE)</f>
        <v>#N/A</v>
      </c>
    </row>
    <row r="194" spans="1:21" ht="16.5" customHeight="1">
      <c r="A194" s="159" t="s">
        <v>272</v>
      </c>
      <c r="B194" s="114" t="str">
        <f>VLOOKUP(A194,'Data pick slip'!B:F,5,FALSE)</f>
        <v>KLJ-MC100-00</v>
      </c>
      <c r="F194" s="157" t="s">
        <v>270</v>
      </c>
      <c r="H194" s="138">
        <v>1856</v>
      </c>
      <c r="I194" s="140" t="e">
        <f>VLOOKUP(H194,Stock_list!A:R,18,FALSE)</f>
        <v>#N/A</v>
      </c>
      <c r="J194" s="139" t="e">
        <f>VLOOKUP(H194,Stock_list!A:S,17,FALSE)</f>
        <v>#N/A</v>
      </c>
      <c r="K194" s="51" t="e">
        <f>VLOOKUP(H194,Stock_list!A:T,16,FALSE)</f>
        <v>#N/A</v>
      </c>
      <c r="L194" s="4">
        <v>45042</v>
      </c>
      <c r="M194" s="140">
        <v>80</v>
      </c>
      <c r="P194" s="4" t="e">
        <f>VLOOKUP(H194,Stock_list!A:Y,25,FALSE)</f>
        <v>#N/A</v>
      </c>
      <c r="Q194" s="143"/>
      <c r="T194" s="144"/>
      <c r="U194" s="145" t="e">
        <f>VLOOKUP(H194,Stock_list!A:N,14,FALSE)</f>
        <v>#N/A</v>
      </c>
    </row>
    <row r="195" spans="1:21" ht="16.5" customHeight="1">
      <c r="A195" s="159" t="s">
        <v>261</v>
      </c>
      <c r="B195" s="114" t="str">
        <f>VLOOKUP(A195,'Data pick slip'!B:F,5,FALSE)</f>
        <v>KHJ-MC100-00</v>
      </c>
      <c r="F195" s="157" t="s">
        <v>270</v>
      </c>
      <c r="H195" s="138">
        <v>1866</v>
      </c>
      <c r="I195" s="140" t="e">
        <f>VLOOKUP(H195,Stock_list!A:R,18,FALSE)</f>
        <v>#N/A</v>
      </c>
      <c r="J195" s="139" t="e">
        <f>VLOOKUP(H195,Stock_list!A:S,17,FALSE)</f>
        <v>#N/A</v>
      </c>
      <c r="K195" s="51" t="e">
        <f>VLOOKUP(H195,Stock_list!A:T,16,FALSE)</f>
        <v>#N/A</v>
      </c>
      <c r="L195" s="4">
        <v>45003</v>
      </c>
      <c r="M195" s="140">
        <v>90</v>
      </c>
      <c r="P195" s="4" t="e">
        <f>VLOOKUP(H195,Stock_list!A:Y,25,FALSE)</f>
        <v>#N/A</v>
      </c>
      <c r="Q195" s="143"/>
      <c r="T195" s="144"/>
      <c r="U195" s="145" t="e">
        <f>VLOOKUP(H195,Stock_list!A:N,14,FALSE)</f>
        <v>#N/A</v>
      </c>
    </row>
    <row r="196" spans="1:21" ht="16.5" customHeight="1">
      <c r="A196" s="159" t="s">
        <v>264</v>
      </c>
      <c r="B196" s="114" t="str">
        <f>VLOOKUP(A196,'Data pick slip'!B:F,5,FALSE)</f>
        <v>KHJ-MC200-00</v>
      </c>
      <c r="F196" s="157" t="s">
        <v>270</v>
      </c>
      <c r="H196" s="138">
        <v>1866</v>
      </c>
      <c r="I196" s="140" t="e">
        <f>VLOOKUP(H196,Stock_list!A:R,18,FALSE)</f>
        <v>#N/A</v>
      </c>
      <c r="J196" s="139" t="e">
        <f>VLOOKUP(H196,Stock_list!A:S,17,FALSE)</f>
        <v>#N/A</v>
      </c>
      <c r="K196" s="51" t="e">
        <f>VLOOKUP(H196,Stock_list!A:T,16,FALSE)</f>
        <v>#N/A</v>
      </c>
      <c r="L196" s="4">
        <v>45003</v>
      </c>
      <c r="M196" s="140">
        <v>10</v>
      </c>
      <c r="P196" s="4" t="e">
        <f>VLOOKUP(H196,Stock_list!A:Y,25,FALSE)</f>
        <v>#N/A</v>
      </c>
      <c r="Q196" s="143"/>
      <c r="T196" s="144"/>
      <c r="U196" s="145" t="e">
        <f>VLOOKUP(H196,Stock_list!A:N,14,FALSE)</f>
        <v>#N/A</v>
      </c>
    </row>
    <row r="197" spans="1:21" ht="16.5" customHeight="1">
      <c r="A197" s="159" t="s">
        <v>265</v>
      </c>
      <c r="B197" s="114" t="str">
        <f>VLOOKUP(A197,'Data pick slip'!B:F,5,FALSE)</f>
        <v>KHJ-MC400-00</v>
      </c>
      <c r="F197" s="157" t="s">
        <v>270</v>
      </c>
      <c r="H197" s="138">
        <v>1866</v>
      </c>
      <c r="I197" s="140" t="e">
        <f>VLOOKUP(H197,Stock_list!A:R,18,FALSE)</f>
        <v>#N/A</v>
      </c>
      <c r="J197" s="139" t="e">
        <f>VLOOKUP(H197,Stock_list!A:S,17,FALSE)</f>
        <v>#N/A</v>
      </c>
      <c r="K197" s="51" t="e">
        <f>VLOOKUP(H197,Stock_list!A:T,16,FALSE)</f>
        <v>#N/A</v>
      </c>
      <c r="L197" s="4">
        <v>45003</v>
      </c>
      <c r="M197" s="140">
        <v>5</v>
      </c>
      <c r="P197" s="4" t="e">
        <f>VLOOKUP(H197,Stock_list!A:Y,25,FALSE)</f>
        <v>#N/A</v>
      </c>
      <c r="Q197" s="143"/>
      <c r="T197" s="144"/>
      <c r="U197" s="145" t="e">
        <f>VLOOKUP(H197,Stock_list!A:N,14,FALSE)</f>
        <v>#N/A</v>
      </c>
    </row>
    <row r="198" spans="1:21" ht="16.5" customHeight="1">
      <c r="A198" s="159" t="s">
        <v>266</v>
      </c>
      <c r="B198" s="114" t="str">
        <f>VLOOKUP(A198,'Data pick slip'!B:F,5,FALSE)</f>
        <v>KHJ-MC500-00</v>
      </c>
      <c r="F198" s="157" t="s">
        <v>270</v>
      </c>
      <c r="H198" s="138">
        <v>1866</v>
      </c>
      <c r="I198" s="140" t="e">
        <f>VLOOKUP(H198,Stock_list!A:R,18,FALSE)</f>
        <v>#N/A</v>
      </c>
      <c r="J198" s="139" t="e">
        <f>VLOOKUP(H198,Stock_list!A:S,17,FALSE)</f>
        <v>#N/A</v>
      </c>
      <c r="K198" s="51" t="e">
        <f>VLOOKUP(H198,Stock_list!A:T,16,FALSE)</f>
        <v>#N/A</v>
      </c>
      <c r="L198" s="4">
        <v>45003</v>
      </c>
      <c r="M198" s="140">
        <v>5</v>
      </c>
      <c r="P198" s="4" t="e">
        <f>VLOOKUP(H198,Stock_list!A:Y,25,FALSE)</f>
        <v>#N/A</v>
      </c>
      <c r="Q198" s="143"/>
      <c r="T198" s="144"/>
      <c r="U198" s="145" t="e">
        <f>VLOOKUP(H198,Stock_list!A:N,14,FALSE)</f>
        <v>#N/A</v>
      </c>
    </row>
    <row r="199" spans="1:21" ht="16.5" customHeight="1">
      <c r="A199" s="159" t="s">
        <v>267</v>
      </c>
      <c r="B199" s="114" t="str">
        <f>VLOOKUP(A199,'Data pick slip'!B:F,5,FALSE)</f>
        <v>KHJ-MC600-00</v>
      </c>
      <c r="F199" s="157" t="s">
        <v>270</v>
      </c>
      <c r="H199" s="138">
        <v>1866</v>
      </c>
      <c r="I199" s="140" t="e">
        <f>VLOOKUP(H199,Stock_list!A:R,18,FALSE)</f>
        <v>#N/A</v>
      </c>
      <c r="J199" s="139" t="e">
        <f>VLOOKUP(H199,Stock_list!A:S,17,FALSE)</f>
        <v>#N/A</v>
      </c>
      <c r="K199" s="51" t="e">
        <f>VLOOKUP(H199,Stock_list!A:T,16,FALSE)</f>
        <v>#N/A</v>
      </c>
      <c r="L199" s="4">
        <v>45003</v>
      </c>
      <c r="M199" s="140">
        <v>3</v>
      </c>
      <c r="P199" s="4" t="e">
        <f>VLOOKUP(H199,Stock_list!A:Y,25,FALSE)</f>
        <v>#N/A</v>
      </c>
      <c r="Q199" s="143"/>
      <c r="T199" s="144"/>
      <c r="U199" s="145" t="e">
        <f>VLOOKUP(H199,Stock_list!A:N,14,FALSE)</f>
        <v>#N/A</v>
      </c>
    </row>
    <row r="200" spans="1:21" ht="16.5" customHeight="1">
      <c r="A200" s="159" t="s">
        <v>261</v>
      </c>
      <c r="B200" s="114" t="str">
        <f>VLOOKUP(A200,'Data pick slip'!B:F,5,FALSE)</f>
        <v>KHJ-MC100-00</v>
      </c>
      <c r="F200" s="157" t="s">
        <v>270</v>
      </c>
      <c r="H200" s="138">
        <v>1866</v>
      </c>
      <c r="I200" s="140" t="e">
        <f>VLOOKUP(H200,Stock_list!A:R,18,FALSE)</f>
        <v>#N/A</v>
      </c>
      <c r="J200" s="139" t="e">
        <f>VLOOKUP(H200,Stock_list!A:S,17,FALSE)</f>
        <v>#N/A</v>
      </c>
      <c r="K200" s="51" t="e">
        <f>VLOOKUP(H200,Stock_list!A:T,16,FALSE)</f>
        <v>#N/A</v>
      </c>
      <c r="L200" s="291">
        <v>45142</v>
      </c>
      <c r="M200" s="140">
        <v>89</v>
      </c>
      <c r="P200" s="4" t="e">
        <f>VLOOKUP(H200,Stock_list!A:Y,25,FALSE)</f>
        <v>#N/A</v>
      </c>
      <c r="Q200" s="143"/>
      <c r="T200" s="144"/>
      <c r="U200" s="145" t="e">
        <f>VLOOKUP(H200,Stock_list!A:N,14,FALSE)</f>
        <v>#N/A</v>
      </c>
    </row>
    <row r="201" spans="1:21" ht="16.5" customHeight="1">
      <c r="A201" s="159" t="s">
        <v>264</v>
      </c>
      <c r="B201" s="114" t="str">
        <f>VLOOKUP(A201,'Data pick slip'!B:F,5,FALSE)</f>
        <v>KHJ-MC200-00</v>
      </c>
      <c r="F201" s="157" t="s">
        <v>270</v>
      </c>
      <c r="H201" s="138">
        <v>1866</v>
      </c>
      <c r="I201" s="140" t="e">
        <f>VLOOKUP(H201,Stock_list!A:R,18,FALSE)</f>
        <v>#N/A</v>
      </c>
      <c r="J201" s="139" t="e">
        <f>VLOOKUP(H201,Stock_list!A:S,17,FALSE)</f>
        <v>#N/A</v>
      </c>
      <c r="K201" s="51" t="e">
        <f>VLOOKUP(H201,Stock_list!A:T,16,FALSE)</f>
        <v>#N/A</v>
      </c>
      <c r="L201" s="291">
        <v>45142</v>
      </c>
      <c r="M201" s="140">
        <v>20</v>
      </c>
      <c r="P201" s="4" t="e">
        <f>VLOOKUP(H201,Stock_list!A:Y,25,FALSE)</f>
        <v>#N/A</v>
      </c>
      <c r="Q201" s="143"/>
      <c r="T201" s="144"/>
      <c r="U201" s="145" t="e">
        <f>VLOOKUP(H201,Stock_list!A:N,14,FALSE)</f>
        <v>#N/A</v>
      </c>
    </row>
    <row r="202" spans="1:21" ht="16.5" customHeight="1">
      <c r="A202" s="159" t="s">
        <v>265</v>
      </c>
      <c r="B202" s="114" t="str">
        <f>VLOOKUP(A202,'Data pick slip'!B:F,5,FALSE)</f>
        <v>KHJ-MC400-00</v>
      </c>
      <c r="F202" s="157" t="s">
        <v>270</v>
      </c>
      <c r="H202" s="138">
        <v>1866</v>
      </c>
      <c r="I202" s="140" t="e">
        <f>VLOOKUP(H202,Stock_list!A:R,18,FALSE)</f>
        <v>#N/A</v>
      </c>
      <c r="J202" s="139" t="e">
        <f>VLOOKUP(H202,Stock_list!A:S,17,FALSE)</f>
        <v>#N/A</v>
      </c>
      <c r="K202" s="51" t="e">
        <f>VLOOKUP(H202,Stock_list!A:T,16,FALSE)</f>
        <v>#N/A</v>
      </c>
      <c r="L202" s="291">
        <v>45142</v>
      </c>
      <c r="M202" s="140">
        <v>2</v>
      </c>
      <c r="P202" s="4" t="e">
        <f>VLOOKUP(H202,Stock_list!A:Y,25,FALSE)</f>
        <v>#N/A</v>
      </c>
      <c r="Q202" s="143"/>
      <c r="T202" s="144"/>
      <c r="U202" s="145" t="e">
        <f>VLOOKUP(H202,Stock_list!A:N,14,FALSE)</f>
        <v>#N/A</v>
      </c>
    </row>
    <row r="203" spans="1:21" ht="16.5" customHeight="1">
      <c r="A203" s="159" t="s">
        <v>266</v>
      </c>
      <c r="B203" s="114" t="str">
        <f>VLOOKUP(A203,'Data pick slip'!B:F,5,FALSE)</f>
        <v>KHJ-MC500-00</v>
      </c>
      <c r="F203" s="157" t="s">
        <v>270</v>
      </c>
      <c r="H203" s="138">
        <v>1866</v>
      </c>
      <c r="I203" s="140" t="e">
        <f>VLOOKUP(H203,Stock_list!A:R,18,FALSE)</f>
        <v>#N/A</v>
      </c>
      <c r="J203" s="139" t="e">
        <f>VLOOKUP(H203,Stock_list!A:S,17,FALSE)</f>
        <v>#N/A</v>
      </c>
      <c r="K203" s="51" t="e">
        <f>VLOOKUP(H203,Stock_list!A:T,16,FALSE)</f>
        <v>#N/A</v>
      </c>
      <c r="L203" s="291">
        <v>45142</v>
      </c>
      <c r="M203" s="140">
        <v>2</v>
      </c>
      <c r="P203" s="4" t="e">
        <f>VLOOKUP(H203,Stock_list!A:Y,25,FALSE)</f>
        <v>#N/A</v>
      </c>
      <c r="Q203" s="143"/>
      <c r="T203" s="144"/>
      <c r="U203" s="145" t="e">
        <f>VLOOKUP(H203,Stock_list!A:N,14,FALSE)</f>
        <v>#N/A</v>
      </c>
    </row>
    <row r="204" spans="1:21" ht="16.5" customHeight="1">
      <c r="A204" s="159" t="s">
        <v>267</v>
      </c>
      <c r="B204" s="114" t="str">
        <f>VLOOKUP(A204,'Data pick slip'!B:F,5,FALSE)</f>
        <v>KHJ-MC600-00</v>
      </c>
      <c r="F204" s="157" t="s">
        <v>270</v>
      </c>
      <c r="H204" s="138">
        <v>1866</v>
      </c>
      <c r="I204" s="140" t="e">
        <f>VLOOKUP(H204,Stock_list!A:R,18,FALSE)</f>
        <v>#N/A</v>
      </c>
      <c r="J204" s="139" t="e">
        <f>VLOOKUP(H204,Stock_list!A:S,17,FALSE)</f>
        <v>#N/A</v>
      </c>
      <c r="K204" s="51" t="e">
        <f>VLOOKUP(H204,Stock_list!A:T,16,FALSE)</f>
        <v>#N/A</v>
      </c>
      <c r="L204" s="291">
        <v>45142</v>
      </c>
      <c r="M204" s="140">
        <v>2</v>
      </c>
      <c r="P204" s="4" t="e">
        <f>VLOOKUP(H204,Stock_list!A:Y,25,FALSE)</f>
        <v>#N/A</v>
      </c>
      <c r="Q204" s="143"/>
      <c r="T204" s="144"/>
      <c r="U204" s="145" t="e">
        <f>VLOOKUP(H204,Stock_list!A:N,14,FALSE)</f>
        <v>#N/A</v>
      </c>
    </row>
    <row r="205" spans="1:21" ht="16.5" customHeight="1">
      <c r="A205" s="159" t="s">
        <v>272</v>
      </c>
      <c r="B205" s="114" t="str">
        <f>VLOOKUP(A205,'Data pick slip'!B:F,5,FALSE)</f>
        <v>KLJ-MC100-00</v>
      </c>
      <c r="F205" s="157" t="s">
        <v>270</v>
      </c>
      <c r="H205" s="138">
        <v>1867</v>
      </c>
      <c r="I205" s="140" t="e">
        <f>VLOOKUP(H205,Stock_list!A:R,18,FALSE)</f>
        <v>#N/A</v>
      </c>
      <c r="J205" s="139" t="e">
        <f>VLOOKUP(H205,Stock_list!A:S,17,FALSE)</f>
        <v>#N/A</v>
      </c>
      <c r="K205" s="51" t="e">
        <f>VLOOKUP(H205,Stock_list!A:T,16,FALSE)</f>
        <v>#N/A</v>
      </c>
      <c r="L205" s="4">
        <v>45057</v>
      </c>
      <c r="M205" s="140">
        <v>20</v>
      </c>
      <c r="P205" s="4" t="e">
        <f>VLOOKUP(H205,Stock_list!A:Y,25,FALSE)</f>
        <v>#N/A</v>
      </c>
      <c r="Q205" s="143"/>
      <c r="T205" s="144"/>
      <c r="U205" s="145" t="e">
        <f>VLOOKUP(H205,Stock_list!A:N,14,FALSE)</f>
        <v>#N/A</v>
      </c>
    </row>
    <row r="206" spans="1:21" ht="16.5" customHeight="1">
      <c r="A206" s="159" t="s">
        <v>261</v>
      </c>
      <c r="B206" s="114" t="str">
        <f>VLOOKUP(A206,'Data pick slip'!B:F,5,FALSE)</f>
        <v>KHJ-MC100-00</v>
      </c>
      <c r="F206" s="157" t="s">
        <v>270</v>
      </c>
      <c r="H206" s="138">
        <v>1788</v>
      </c>
      <c r="I206" s="140" t="e">
        <f>VLOOKUP(H206,Stock_list!A:R,18,FALSE)</f>
        <v>#N/A</v>
      </c>
      <c r="J206" s="139" t="e">
        <f>VLOOKUP(H206,Stock_list!A:S,17,FALSE)</f>
        <v>#N/A</v>
      </c>
      <c r="K206" s="51" t="e">
        <f>VLOOKUP(H206,Stock_list!A:T,16,FALSE)</f>
        <v>#N/A</v>
      </c>
      <c r="L206" s="291">
        <v>45013</v>
      </c>
      <c r="M206" s="140">
        <v>5</v>
      </c>
      <c r="P206" s="4" t="e">
        <f>VLOOKUP(H206,Stock_list!A:Y,25,FALSE)</f>
        <v>#N/A</v>
      </c>
      <c r="Q206" s="143"/>
      <c r="S206" s="268" t="s">
        <v>295</v>
      </c>
      <c r="T206" s="266" t="s">
        <v>299</v>
      </c>
      <c r="U206" s="145" t="e">
        <f>VLOOKUP(H206,Stock_list!A:N,14,FALSE)</f>
        <v>#N/A</v>
      </c>
    </row>
    <row r="207" spans="1:21" ht="16.5" customHeight="1">
      <c r="A207" s="159" t="s">
        <v>261</v>
      </c>
      <c r="B207" s="114" t="str">
        <f>VLOOKUP(A207,'Data pick slip'!B:F,5,FALSE)</f>
        <v>KHJ-MC100-00</v>
      </c>
      <c r="F207" s="157" t="s">
        <v>270</v>
      </c>
      <c r="H207" s="138">
        <v>1869</v>
      </c>
      <c r="I207" s="140" t="e">
        <f>VLOOKUP(H207,Stock_list!A:R,18,FALSE)</f>
        <v>#N/A</v>
      </c>
      <c r="J207" s="139" t="e">
        <f>VLOOKUP(H207,Stock_list!A:S,17,FALSE)</f>
        <v>#N/A</v>
      </c>
      <c r="K207" s="51" t="e">
        <f>VLOOKUP(H207,Stock_list!A:T,16,FALSE)</f>
        <v>#N/A</v>
      </c>
      <c r="L207" s="4">
        <v>45008</v>
      </c>
      <c r="M207" s="140">
        <v>31</v>
      </c>
      <c r="P207" s="4" t="e">
        <f>VLOOKUP(H207,Stock_list!A:Y,25,FALSE)</f>
        <v>#N/A</v>
      </c>
      <c r="Q207" s="143"/>
      <c r="T207" s="144"/>
      <c r="U207" s="145" t="e">
        <f>VLOOKUP(H207,Stock_list!A:N,14,FALSE)</f>
        <v>#N/A</v>
      </c>
    </row>
    <row r="208" spans="1:21" ht="16.5" customHeight="1">
      <c r="A208" s="159" t="s">
        <v>264</v>
      </c>
      <c r="B208" s="114" t="str">
        <f>VLOOKUP(A208,'Data pick slip'!B:F,5,FALSE)</f>
        <v>KHJ-MC200-00</v>
      </c>
      <c r="F208" s="157" t="s">
        <v>270</v>
      </c>
      <c r="H208" s="138">
        <v>1869</v>
      </c>
      <c r="I208" s="140" t="e">
        <f>VLOOKUP(H208,Stock_list!A:R,18,FALSE)</f>
        <v>#N/A</v>
      </c>
      <c r="J208" s="139" t="e">
        <f>VLOOKUP(H208,Stock_list!A:S,17,FALSE)</f>
        <v>#N/A</v>
      </c>
      <c r="K208" s="51" t="e">
        <f>VLOOKUP(H208,Stock_list!A:T,16,FALSE)</f>
        <v>#N/A</v>
      </c>
      <c r="L208" s="4">
        <v>45008</v>
      </c>
      <c r="M208" s="140">
        <v>2</v>
      </c>
      <c r="P208" s="4" t="e">
        <f>VLOOKUP(H208,Stock_list!A:Y,25,FALSE)</f>
        <v>#N/A</v>
      </c>
      <c r="Q208" s="143"/>
      <c r="T208" s="144"/>
      <c r="U208" s="145" t="e">
        <f>VLOOKUP(H208,Stock_list!A:N,14,FALSE)</f>
        <v>#N/A</v>
      </c>
    </row>
    <row r="209" spans="1:21" ht="16.5" customHeight="1">
      <c r="A209" s="159" t="s">
        <v>261</v>
      </c>
      <c r="B209" s="114" t="str">
        <f>VLOOKUP(A209,'Data pick slip'!B:F,5,FALSE)</f>
        <v>KHJ-MC100-00</v>
      </c>
      <c r="F209" s="157" t="s">
        <v>270</v>
      </c>
      <c r="H209" s="138">
        <v>1870</v>
      </c>
      <c r="I209" s="140" t="e">
        <f>VLOOKUP(H209,Stock_list!A:R,18,FALSE)</f>
        <v>#N/A</v>
      </c>
      <c r="J209" s="139" t="e">
        <f>VLOOKUP(H209,Stock_list!A:S,17,FALSE)</f>
        <v>#N/A</v>
      </c>
      <c r="K209" s="51" t="e">
        <f>VLOOKUP(H209,Stock_list!A:T,16,FALSE)</f>
        <v>#N/A</v>
      </c>
      <c r="L209" s="4">
        <v>45000</v>
      </c>
      <c r="M209" s="140">
        <v>14</v>
      </c>
      <c r="P209" s="4" t="e">
        <f>VLOOKUP(H209,Stock_list!A:Y,25,FALSE)</f>
        <v>#N/A</v>
      </c>
      <c r="Q209" s="143"/>
      <c r="T209" s="144"/>
      <c r="U209" s="145" t="e">
        <f>VLOOKUP(H209,Stock_list!A:N,14,FALSE)</f>
        <v>#N/A</v>
      </c>
    </row>
    <row r="210" spans="1:21" ht="16.5" customHeight="1">
      <c r="A210" s="159" t="s">
        <v>261</v>
      </c>
      <c r="B210" s="114" t="str">
        <f>VLOOKUP(A210,'Data pick slip'!B:F,5,FALSE)</f>
        <v>KHJ-MC100-00</v>
      </c>
      <c r="F210" s="157" t="s">
        <v>270</v>
      </c>
      <c r="H210" s="138">
        <v>1860</v>
      </c>
      <c r="I210" s="140" t="e">
        <f>VLOOKUP(H210,Stock_list!A:R,18,FALSE)</f>
        <v>#N/A</v>
      </c>
      <c r="J210" s="139" t="e">
        <f>VLOOKUP(H210,Stock_list!A:S,17,FALSE)</f>
        <v>#N/A</v>
      </c>
      <c r="K210" s="51" t="e">
        <f>VLOOKUP(H210,Stock_list!A:T,16,FALSE)</f>
        <v>#N/A</v>
      </c>
      <c r="L210" s="4">
        <v>44987</v>
      </c>
      <c r="M210" s="140">
        <v>2</v>
      </c>
      <c r="P210" s="4" t="e">
        <f>VLOOKUP(H210,Stock_list!A:Y,25,FALSE)</f>
        <v>#N/A</v>
      </c>
      <c r="Q210" s="143"/>
      <c r="T210" s="144"/>
      <c r="U210" s="145" t="e">
        <f>VLOOKUP(H210,Stock_list!A:N,14,FALSE)</f>
        <v>#N/A</v>
      </c>
    </row>
    <row r="211" spans="1:21" ht="16.5" customHeight="1">
      <c r="A211" s="159" t="s">
        <v>261</v>
      </c>
      <c r="B211" s="114" t="str">
        <f>VLOOKUP(A211,'Data pick slip'!B:F,5,FALSE)</f>
        <v>KHJ-MC100-00</v>
      </c>
      <c r="F211" s="157" t="s">
        <v>270</v>
      </c>
      <c r="H211" s="138">
        <v>1871</v>
      </c>
      <c r="I211" s="140" t="e">
        <f>VLOOKUP(H211,Stock_list!A:R,18,FALSE)</f>
        <v>#N/A</v>
      </c>
      <c r="J211" s="139" t="e">
        <f>VLOOKUP(H211,Stock_list!A:S,17,FALSE)</f>
        <v>#N/A</v>
      </c>
      <c r="K211" s="51" t="e">
        <f>VLOOKUP(H211,Stock_list!A:T,16,FALSE)</f>
        <v>#N/A</v>
      </c>
      <c r="L211" s="4">
        <v>45007</v>
      </c>
      <c r="M211" s="140">
        <v>100</v>
      </c>
      <c r="P211" s="4" t="e">
        <f>VLOOKUP(H211,Stock_list!A:Y,25,FALSE)</f>
        <v>#N/A</v>
      </c>
      <c r="Q211" s="143"/>
      <c r="T211" s="144"/>
      <c r="U211" s="145" t="e">
        <f>VLOOKUP(H211,Stock_list!A:N,14,FALSE)</f>
        <v>#N/A</v>
      </c>
    </row>
    <row r="212" spans="1:21" ht="16.5" customHeight="1">
      <c r="A212" s="159" t="s">
        <v>264</v>
      </c>
      <c r="B212" s="114" t="str">
        <f>VLOOKUP(A212,'Data pick slip'!B:F,5,FALSE)</f>
        <v>KHJ-MC200-00</v>
      </c>
      <c r="F212" s="157" t="s">
        <v>270</v>
      </c>
      <c r="H212" s="138">
        <v>1871</v>
      </c>
      <c r="I212" s="140" t="e">
        <f>VLOOKUP(H212,Stock_list!A:R,18,FALSE)</f>
        <v>#N/A</v>
      </c>
      <c r="J212" s="139" t="e">
        <f>VLOOKUP(H212,Stock_list!A:S,17,FALSE)</f>
        <v>#N/A</v>
      </c>
      <c r="K212" s="51" t="e">
        <f>VLOOKUP(H212,Stock_list!A:T,16,FALSE)</f>
        <v>#N/A</v>
      </c>
      <c r="L212" s="4">
        <v>45007</v>
      </c>
      <c r="M212" s="140">
        <v>10</v>
      </c>
      <c r="P212" s="4" t="e">
        <f>VLOOKUP(H212,Stock_list!A:Y,25,FALSE)</f>
        <v>#N/A</v>
      </c>
      <c r="Q212" s="143"/>
      <c r="T212" s="144"/>
      <c r="U212" s="145" t="e">
        <f>VLOOKUP(H212,Stock_list!A:N,14,FALSE)</f>
        <v>#N/A</v>
      </c>
    </row>
    <row r="213" spans="1:21" ht="16.5" customHeight="1">
      <c r="A213" s="159" t="s">
        <v>261</v>
      </c>
      <c r="B213" s="114" t="str">
        <f>VLOOKUP(A213,'Data pick slip'!B:F,5,FALSE)</f>
        <v>KHJ-MC100-00</v>
      </c>
      <c r="F213" s="157" t="s">
        <v>270</v>
      </c>
      <c r="H213" s="138">
        <v>1873</v>
      </c>
      <c r="I213" s="140" t="e">
        <f>VLOOKUP(H213,Stock_list!A:R,18,FALSE)</f>
        <v>#N/A</v>
      </c>
      <c r="J213" s="139" t="e">
        <f>VLOOKUP(H213,Stock_list!A:S,17,FALSE)</f>
        <v>#N/A</v>
      </c>
      <c r="K213" s="51" t="e">
        <f>VLOOKUP(H213,Stock_list!A:T,16,FALSE)</f>
        <v>#N/A</v>
      </c>
      <c r="L213" s="4">
        <v>45012</v>
      </c>
      <c r="M213" s="140">
        <v>22</v>
      </c>
      <c r="P213" s="4" t="e">
        <f>VLOOKUP(H213,Stock_list!A:Y,25,FALSE)</f>
        <v>#N/A</v>
      </c>
      <c r="Q213" s="143"/>
      <c r="T213" s="144"/>
      <c r="U213" s="145" t="e">
        <f>VLOOKUP(H213,Stock_list!A:N,14,FALSE)</f>
        <v>#N/A</v>
      </c>
    </row>
    <row r="214" spans="1:21" ht="16.5" customHeight="1">
      <c r="A214" s="159" t="s">
        <v>264</v>
      </c>
      <c r="B214" s="114" t="str">
        <f>VLOOKUP(A214,'Data pick slip'!B:F,5,FALSE)</f>
        <v>KHJ-MC200-00</v>
      </c>
      <c r="F214" s="157" t="s">
        <v>270</v>
      </c>
      <c r="H214" s="138">
        <v>1873</v>
      </c>
      <c r="I214" s="140" t="e">
        <f>VLOOKUP(H214,Stock_list!A:R,18,FALSE)</f>
        <v>#N/A</v>
      </c>
      <c r="J214" s="139" t="e">
        <f>VLOOKUP(H214,Stock_list!A:S,17,FALSE)</f>
        <v>#N/A</v>
      </c>
      <c r="K214" s="51" t="e">
        <f>VLOOKUP(H214,Stock_list!A:T,16,FALSE)</f>
        <v>#N/A</v>
      </c>
      <c r="L214" s="4">
        <v>45012</v>
      </c>
      <c r="M214" s="140">
        <v>6</v>
      </c>
      <c r="P214" s="4" t="e">
        <f>VLOOKUP(H214,Stock_list!A:Y,25,FALSE)</f>
        <v>#N/A</v>
      </c>
      <c r="Q214" s="143"/>
      <c r="T214" s="144"/>
      <c r="U214" s="145" t="e">
        <f>VLOOKUP(H214,Stock_list!A:N,14,FALSE)</f>
        <v>#N/A</v>
      </c>
    </row>
    <row r="215" spans="1:21" ht="16.5" customHeight="1">
      <c r="A215" s="159" t="s">
        <v>261</v>
      </c>
      <c r="B215" s="114" t="str">
        <f>VLOOKUP(A215,'Data pick slip'!B:F,5,FALSE)</f>
        <v>KHJ-MC100-00</v>
      </c>
      <c r="F215" s="157" t="s">
        <v>270</v>
      </c>
      <c r="H215" s="138">
        <v>1892</v>
      </c>
      <c r="I215" s="140" t="e">
        <f>VLOOKUP(H215,Stock_list!A:R,18,FALSE)</f>
        <v>#N/A</v>
      </c>
      <c r="J215" s="139" t="e">
        <f>VLOOKUP(H215,Stock_list!A:S,17,FALSE)</f>
        <v>#N/A</v>
      </c>
      <c r="K215" s="51" t="e">
        <f>VLOOKUP(H215,Stock_list!A:T,16,FALSE)</f>
        <v>#N/A</v>
      </c>
      <c r="L215" s="4">
        <v>45008</v>
      </c>
      <c r="M215" s="140">
        <v>108</v>
      </c>
      <c r="P215" s="4" t="e">
        <f>VLOOKUP(H215,Stock_list!A:Y,25,FALSE)</f>
        <v>#N/A</v>
      </c>
      <c r="Q215" s="143"/>
      <c r="T215" s="144"/>
      <c r="U215" s="145" t="e">
        <f>VLOOKUP(H215,Stock_list!A:N,14,FALSE)</f>
        <v>#N/A</v>
      </c>
    </row>
    <row r="216" spans="1:21" ht="16.5" customHeight="1">
      <c r="A216" s="159" t="s">
        <v>265</v>
      </c>
      <c r="B216" s="114" t="str">
        <f>VLOOKUP(A216,'Data pick slip'!B:F,5,FALSE)</f>
        <v>KHJ-MC400-00</v>
      </c>
      <c r="F216" s="157" t="s">
        <v>270</v>
      </c>
      <c r="H216" s="138">
        <v>1892</v>
      </c>
      <c r="I216" s="140" t="e">
        <f>VLOOKUP(H216,Stock_list!A:R,18,FALSE)</f>
        <v>#N/A</v>
      </c>
      <c r="J216" s="139" t="e">
        <f>VLOOKUP(H216,Stock_list!A:S,17,FALSE)</f>
        <v>#N/A</v>
      </c>
      <c r="K216" s="51" t="e">
        <f>VLOOKUP(H216,Stock_list!A:T,16,FALSE)</f>
        <v>#N/A</v>
      </c>
      <c r="L216" s="4">
        <v>45008</v>
      </c>
      <c r="M216" s="140">
        <v>10</v>
      </c>
      <c r="P216" s="4" t="e">
        <f>VLOOKUP(H216,Stock_list!A:Y,25,FALSE)</f>
        <v>#N/A</v>
      </c>
      <c r="Q216" s="143"/>
      <c r="T216" s="144"/>
      <c r="U216" s="145" t="e">
        <f>VLOOKUP(H216,Stock_list!A:N,14,FALSE)</f>
        <v>#N/A</v>
      </c>
    </row>
    <row r="217" spans="1:21" ht="16.5" customHeight="1">
      <c r="A217" s="159" t="s">
        <v>266</v>
      </c>
      <c r="B217" s="114" t="str">
        <f>VLOOKUP(A217,'Data pick slip'!B:F,5,FALSE)</f>
        <v>KHJ-MC500-00</v>
      </c>
      <c r="F217" s="157" t="s">
        <v>270</v>
      </c>
      <c r="H217" s="138">
        <v>1892</v>
      </c>
      <c r="I217" s="140" t="e">
        <f>VLOOKUP(H217,Stock_list!A:R,18,FALSE)</f>
        <v>#N/A</v>
      </c>
      <c r="J217" s="139" t="e">
        <f>VLOOKUP(H217,Stock_list!A:S,17,FALSE)</f>
        <v>#N/A</v>
      </c>
      <c r="K217" s="51" t="e">
        <f>VLOOKUP(H217,Stock_list!A:T,16,FALSE)</f>
        <v>#N/A</v>
      </c>
      <c r="L217" s="4">
        <v>45008</v>
      </c>
      <c r="M217" s="140">
        <v>2</v>
      </c>
      <c r="P217" s="4" t="e">
        <f>VLOOKUP(H217,Stock_list!A:Y,25,FALSE)</f>
        <v>#N/A</v>
      </c>
      <c r="Q217" s="143"/>
      <c r="T217" s="144"/>
      <c r="U217" s="145" t="e">
        <f>VLOOKUP(H217,Stock_list!A:N,14,FALSE)</f>
        <v>#N/A</v>
      </c>
    </row>
    <row r="218" spans="1:21" ht="16.5" customHeight="1">
      <c r="A218" s="159" t="s">
        <v>261</v>
      </c>
      <c r="B218" s="114" t="str">
        <f>VLOOKUP(A218,'Data pick slip'!B:F,5,FALSE)</f>
        <v>KHJ-MC100-00</v>
      </c>
      <c r="F218" s="157" t="s">
        <v>270</v>
      </c>
      <c r="H218" s="138">
        <v>1893</v>
      </c>
      <c r="I218" s="140" t="e">
        <f>VLOOKUP(H218,Stock_list!A:R,18,FALSE)</f>
        <v>#N/A</v>
      </c>
      <c r="J218" s="139" t="e">
        <f>VLOOKUP(H218,Stock_list!A:S,17,FALSE)</f>
        <v>#N/A</v>
      </c>
      <c r="K218" s="51" t="e">
        <f>VLOOKUP(H218,Stock_list!A:T,16,FALSE)</f>
        <v>#N/A</v>
      </c>
      <c r="L218" s="4">
        <v>45037</v>
      </c>
      <c r="M218" s="132">
        <v>158</v>
      </c>
      <c r="P218" s="4" t="e">
        <f>VLOOKUP(H218,Stock_list!A:Y,25,FALSE)</f>
        <v>#N/A</v>
      </c>
      <c r="Q218" s="143"/>
      <c r="T218" s="144"/>
      <c r="U218" s="145" t="e">
        <f>VLOOKUP(H218,Stock_list!A:N,14,FALSE)</f>
        <v>#N/A</v>
      </c>
    </row>
    <row r="219" spans="1:21" ht="16.5" customHeight="1">
      <c r="A219" s="159" t="s">
        <v>264</v>
      </c>
      <c r="B219" s="114" t="str">
        <f>VLOOKUP(A219,'Data pick slip'!B:F,5,FALSE)</f>
        <v>KHJ-MC200-00</v>
      </c>
      <c r="F219" s="157" t="s">
        <v>270</v>
      </c>
      <c r="H219" s="138">
        <v>1893</v>
      </c>
      <c r="I219" s="140" t="e">
        <f>VLOOKUP(H219,Stock_list!A:R,18,FALSE)</f>
        <v>#N/A</v>
      </c>
      <c r="J219" s="139" t="e">
        <f>VLOOKUP(H219,Stock_list!A:S,17,FALSE)</f>
        <v>#N/A</v>
      </c>
      <c r="K219" s="51" t="e">
        <f>VLOOKUP(H219,Stock_list!A:T,16,FALSE)</f>
        <v>#N/A</v>
      </c>
      <c r="L219" s="4">
        <v>45037</v>
      </c>
      <c r="M219" s="132">
        <v>30</v>
      </c>
      <c r="P219" s="4" t="e">
        <f>VLOOKUP(H219,Stock_list!A:Y,25,FALSE)</f>
        <v>#N/A</v>
      </c>
      <c r="Q219" s="143"/>
      <c r="T219" s="144"/>
      <c r="U219" s="145" t="e">
        <f>VLOOKUP(H219,Stock_list!A:N,14,FALSE)</f>
        <v>#N/A</v>
      </c>
    </row>
    <row r="220" spans="1:21" ht="16.5" customHeight="1">
      <c r="A220" s="159" t="s">
        <v>265</v>
      </c>
      <c r="B220" s="114" t="str">
        <f>VLOOKUP(A220,'Data pick slip'!B:F,5,FALSE)</f>
        <v>KHJ-MC400-00</v>
      </c>
      <c r="F220" s="157" t="s">
        <v>270</v>
      </c>
      <c r="H220" s="138">
        <v>1893</v>
      </c>
      <c r="I220" s="140" t="e">
        <f>VLOOKUP(H220,Stock_list!A:R,18,FALSE)</f>
        <v>#N/A</v>
      </c>
      <c r="J220" s="139" t="e">
        <f>VLOOKUP(H220,Stock_list!A:S,17,FALSE)</f>
        <v>#N/A</v>
      </c>
      <c r="K220" s="51" t="e">
        <f>VLOOKUP(H220,Stock_list!A:T,16,FALSE)</f>
        <v>#N/A</v>
      </c>
      <c r="L220" s="4">
        <v>45037</v>
      </c>
      <c r="M220" s="132">
        <v>5</v>
      </c>
      <c r="P220" s="4" t="e">
        <f>VLOOKUP(H220,Stock_list!A:Y,25,FALSE)</f>
        <v>#N/A</v>
      </c>
      <c r="Q220" s="143"/>
      <c r="T220" s="144"/>
      <c r="U220" s="145" t="e">
        <f>VLOOKUP(H220,Stock_list!A:N,14,FALSE)</f>
        <v>#N/A</v>
      </c>
    </row>
    <row r="221" spans="1:21" ht="16.5" customHeight="1">
      <c r="A221" s="159" t="s">
        <v>266</v>
      </c>
      <c r="B221" s="114" t="str">
        <f>VLOOKUP(A221,'Data pick slip'!B:F,5,FALSE)</f>
        <v>KHJ-MC500-00</v>
      </c>
      <c r="F221" s="157" t="s">
        <v>270</v>
      </c>
      <c r="H221" s="138">
        <v>1893</v>
      </c>
      <c r="I221" s="140" t="e">
        <f>VLOOKUP(H221,Stock_list!A:R,18,FALSE)</f>
        <v>#N/A</v>
      </c>
      <c r="J221" s="139" t="e">
        <f>VLOOKUP(H221,Stock_list!A:S,17,FALSE)</f>
        <v>#N/A</v>
      </c>
      <c r="K221" s="51" t="e">
        <f>VLOOKUP(H221,Stock_list!A:T,16,FALSE)</f>
        <v>#N/A</v>
      </c>
      <c r="L221" s="4">
        <v>45037</v>
      </c>
      <c r="M221" s="132">
        <v>2</v>
      </c>
      <c r="P221" s="4" t="e">
        <f>VLOOKUP(H221,Stock_list!A:Y,25,FALSE)</f>
        <v>#N/A</v>
      </c>
      <c r="Q221" s="143"/>
      <c r="T221" s="144"/>
      <c r="U221" s="145" t="e">
        <f>VLOOKUP(H221,Stock_list!A:N,14,FALSE)</f>
        <v>#N/A</v>
      </c>
    </row>
    <row r="222" spans="1:21" ht="16.5" customHeight="1">
      <c r="A222" s="159" t="s">
        <v>267</v>
      </c>
      <c r="B222" s="114" t="str">
        <f>VLOOKUP(A222,'Data pick slip'!B:F,5,FALSE)</f>
        <v>KHJ-MC600-00</v>
      </c>
      <c r="F222" s="157" t="s">
        <v>270</v>
      </c>
      <c r="H222" s="138">
        <v>1893</v>
      </c>
      <c r="I222" s="140" t="e">
        <f>VLOOKUP(H222,Stock_list!A:R,18,FALSE)</f>
        <v>#N/A</v>
      </c>
      <c r="J222" s="139" t="e">
        <f>VLOOKUP(H222,Stock_list!A:S,17,FALSE)</f>
        <v>#N/A</v>
      </c>
      <c r="K222" s="51" t="e">
        <f>VLOOKUP(H222,Stock_list!A:T,16,FALSE)</f>
        <v>#N/A</v>
      </c>
      <c r="L222" s="4">
        <v>45037</v>
      </c>
      <c r="M222" s="132">
        <v>2</v>
      </c>
      <c r="P222" s="4" t="e">
        <f>VLOOKUP(H222,Stock_list!A:Y,25,FALSE)</f>
        <v>#N/A</v>
      </c>
      <c r="Q222" s="143"/>
      <c r="T222" s="144"/>
      <c r="U222" s="145" t="e">
        <f>VLOOKUP(H222,Stock_list!A:N,14,FALSE)</f>
        <v>#N/A</v>
      </c>
    </row>
    <row r="223" spans="1:21" ht="16.5" customHeight="1">
      <c r="A223" s="159" t="s">
        <v>264</v>
      </c>
      <c r="B223" s="114" t="str">
        <f>VLOOKUP(A223,'Data pick slip'!B:F,5,FALSE)</f>
        <v>KHJ-MC200-00</v>
      </c>
      <c r="F223" s="157" t="s">
        <v>270</v>
      </c>
      <c r="H223" s="138">
        <v>1895</v>
      </c>
      <c r="I223" s="140" t="e">
        <f>VLOOKUP(H223,Stock_list!A:R,18,FALSE)</f>
        <v>#N/A</v>
      </c>
      <c r="J223" s="139" t="e">
        <f>VLOOKUP(H223,Stock_list!A:S,17,FALSE)</f>
        <v>#N/A</v>
      </c>
      <c r="K223" s="51" t="e">
        <f>VLOOKUP(H223,Stock_list!A:T,16,FALSE)</f>
        <v>#N/A</v>
      </c>
      <c r="L223" s="4">
        <v>45013</v>
      </c>
      <c r="M223" s="140">
        <v>3</v>
      </c>
      <c r="P223" s="4" t="e">
        <f>VLOOKUP(H223,Stock_list!A:Y,25,FALSE)</f>
        <v>#N/A</v>
      </c>
      <c r="Q223" s="143"/>
      <c r="T223" s="144"/>
      <c r="U223" s="145" t="e">
        <f>VLOOKUP(H223,Stock_list!A:N,14,FALSE)</f>
        <v>#N/A</v>
      </c>
    </row>
    <row r="224" spans="1:21" ht="16.5" customHeight="1">
      <c r="A224" s="159" t="s">
        <v>261</v>
      </c>
      <c r="B224" s="114" t="str">
        <f>VLOOKUP(A224,'Data pick slip'!B:F,5,FALSE)</f>
        <v>KHJ-MC100-00</v>
      </c>
      <c r="F224" s="157" t="s">
        <v>270</v>
      </c>
      <c r="H224" s="138">
        <v>1890</v>
      </c>
      <c r="I224" s="140" t="e">
        <f>VLOOKUP(H224,Stock_list!A:R,18,FALSE)</f>
        <v>#N/A</v>
      </c>
      <c r="J224" s="139" t="e">
        <f>VLOOKUP(H224,Stock_list!A:S,17,FALSE)</f>
        <v>#N/A</v>
      </c>
      <c r="K224" s="51" t="e">
        <f>VLOOKUP(H224,Stock_list!A:T,16,FALSE)</f>
        <v>#N/A</v>
      </c>
      <c r="L224" s="4">
        <v>45010</v>
      </c>
      <c r="M224" s="132">
        <v>30</v>
      </c>
      <c r="P224" s="4" t="e">
        <f>VLOOKUP(H224,Stock_list!A:Y,25,FALSE)</f>
        <v>#N/A</v>
      </c>
      <c r="Q224" s="143"/>
      <c r="T224" s="144"/>
      <c r="U224" s="145" t="e">
        <f>VLOOKUP(H224,Stock_list!A:N,14,FALSE)</f>
        <v>#N/A</v>
      </c>
    </row>
    <row r="225" spans="1:21" ht="16.5" customHeight="1">
      <c r="A225" s="159" t="s">
        <v>264</v>
      </c>
      <c r="B225" s="114" t="str">
        <f>VLOOKUP(A225,'Data pick slip'!B:F,5,FALSE)</f>
        <v>KHJ-MC200-00</v>
      </c>
      <c r="F225" s="157" t="s">
        <v>270</v>
      </c>
      <c r="H225" s="138">
        <v>1890</v>
      </c>
      <c r="I225" s="140" t="e">
        <f>VLOOKUP(H225,Stock_list!A:R,18,FALSE)</f>
        <v>#N/A</v>
      </c>
      <c r="J225" s="139" t="e">
        <f>VLOOKUP(H225,Stock_list!A:S,17,FALSE)</f>
        <v>#N/A</v>
      </c>
      <c r="K225" s="51" t="e">
        <f>VLOOKUP(H225,Stock_list!A:T,16,FALSE)</f>
        <v>#N/A</v>
      </c>
      <c r="L225" s="4">
        <v>45010</v>
      </c>
      <c r="M225" s="132">
        <v>8</v>
      </c>
      <c r="P225" s="4" t="e">
        <f>VLOOKUP(H225,Stock_list!A:Y,25,FALSE)</f>
        <v>#N/A</v>
      </c>
      <c r="Q225" s="143"/>
      <c r="T225" s="144"/>
      <c r="U225" s="145" t="e">
        <f>VLOOKUP(H225,Stock_list!A:N,14,FALSE)</f>
        <v>#N/A</v>
      </c>
    </row>
    <row r="226" spans="1:21" ht="16.5" customHeight="1">
      <c r="A226" s="159" t="s">
        <v>267</v>
      </c>
      <c r="B226" s="114" t="str">
        <f>VLOOKUP(A226,'Data pick slip'!B:F,5,FALSE)</f>
        <v>KHJ-MC600-00</v>
      </c>
      <c r="F226" s="157" t="s">
        <v>270</v>
      </c>
      <c r="H226" s="138">
        <v>1890</v>
      </c>
      <c r="I226" s="140" t="e">
        <f>VLOOKUP(H226,Stock_list!A:R,18,FALSE)</f>
        <v>#N/A</v>
      </c>
      <c r="J226" s="139" t="e">
        <f>VLOOKUP(H226,Stock_list!A:S,17,FALSE)</f>
        <v>#N/A</v>
      </c>
      <c r="K226" s="51" t="e">
        <f>VLOOKUP(H226,Stock_list!A:T,16,FALSE)</f>
        <v>#N/A</v>
      </c>
      <c r="L226" s="4">
        <v>45010</v>
      </c>
      <c r="M226" s="132">
        <v>1</v>
      </c>
      <c r="P226" s="4" t="e">
        <f>VLOOKUP(H226,Stock_list!A:Y,25,FALSE)</f>
        <v>#N/A</v>
      </c>
      <c r="Q226" s="143"/>
      <c r="T226" s="144"/>
      <c r="U226" s="145" t="e">
        <f>VLOOKUP(H226,Stock_list!A:N,14,FALSE)</f>
        <v>#N/A</v>
      </c>
    </row>
    <row r="227" spans="1:21" ht="24.75" customHeight="1">
      <c r="A227" s="159" t="s">
        <v>261</v>
      </c>
      <c r="B227" s="114" t="str">
        <f>VLOOKUP(A227,'Data pick slip'!B:F,5,FALSE)</f>
        <v>KHJ-MC100-00</v>
      </c>
      <c r="F227" s="157" t="s">
        <v>270</v>
      </c>
      <c r="I227" s="140" t="s">
        <v>1379</v>
      </c>
      <c r="J227" s="267" t="s">
        <v>1378</v>
      </c>
      <c r="K227" s="51" t="s">
        <v>1380</v>
      </c>
      <c r="L227" s="4">
        <v>45013</v>
      </c>
      <c r="M227" s="140">
        <v>50</v>
      </c>
      <c r="P227" s="4" t="s">
        <v>1381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261</v>
      </c>
      <c r="B228" s="114" t="str">
        <f>VLOOKUP(A228,'Data pick slip'!B:F,5,FALSE)</f>
        <v>KHJ-MC100-00</v>
      </c>
      <c r="F228" s="157" t="s">
        <v>1382</v>
      </c>
      <c r="I228" s="390" t="s">
        <v>1429</v>
      </c>
      <c r="J228" s="139" t="s">
        <v>1383</v>
      </c>
      <c r="K228" s="51" t="s">
        <v>520</v>
      </c>
      <c r="L228" s="4">
        <v>45007</v>
      </c>
      <c r="M228" s="140">
        <v>80</v>
      </c>
      <c r="P228" s="4" t="s">
        <v>1381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264</v>
      </c>
      <c r="B229" s="114" t="str">
        <f>VLOOKUP(A229,'Data pick slip'!B:F,5,FALSE)</f>
        <v>KHJ-MC200-00</v>
      </c>
      <c r="F229" s="157" t="s">
        <v>1382</v>
      </c>
      <c r="I229" s="390" t="s">
        <v>1429</v>
      </c>
      <c r="J229" s="139" t="s">
        <v>1383</v>
      </c>
      <c r="K229" s="51" t="s">
        <v>520</v>
      </c>
      <c r="L229" s="4">
        <v>45007</v>
      </c>
      <c r="M229" s="140">
        <v>8</v>
      </c>
      <c r="P229" s="4" t="s">
        <v>1381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267</v>
      </c>
      <c r="B230" s="114" t="str">
        <f>VLOOKUP(A230,'Data pick slip'!B:F,5,FALSE)</f>
        <v>KHJ-MC600-00</v>
      </c>
      <c r="F230" s="157" t="s">
        <v>1382</v>
      </c>
      <c r="I230" s="390" t="s">
        <v>1429</v>
      </c>
      <c r="J230" s="139" t="s">
        <v>1383</v>
      </c>
      <c r="K230" s="51" t="s">
        <v>520</v>
      </c>
      <c r="L230" s="4">
        <v>45007</v>
      </c>
      <c r="M230" s="140">
        <v>1</v>
      </c>
      <c r="P230" s="4" t="s">
        <v>1381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261</v>
      </c>
      <c r="B231" s="114" t="str">
        <f>VLOOKUP(A231,'Data pick slip'!B:F,5,FALSE)</f>
        <v>KHJ-MC100-00</v>
      </c>
      <c r="F231" s="157" t="s">
        <v>270</v>
      </c>
      <c r="I231" s="140" t="s">
        <v>804</v>
      </c>
      <c r="J231" s="267" t="s">
        <v>1387</v>
      </c>
      <c r="K231" s="51" t="s">
        <v>225</v>
      </c>
      <c r="L231" s="4">
        <v>45026</v>
      </c>
      <c r="M231" s="140">
        <v>167</v>
      </c>
      <c r="N231" s="146"/>
      <c r="P231" s="4" t="s">
        <v>214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264</v>
      </c>
      <c r="B232" s="114" t="str">
        <f>VLOOKUP(A232,'Data pick slip'!B:F,5,FALSE)</f>
        <v>KHJ-MC200-00</v>
      </c>
      <c r="F232" s="157" t="s">
        <v>270</v>
      </c>
      <c r="I232" s="140" t="s">
        <v>804</v>
      </c>
      <c r="J232" s="267" t="s">
        <v>1387</v>
      </c>
      <c r="K232" s="51" t="s">
        <v>225</v>
      </c>
      <c r="L232" s="4">
        <v>45026</v>
      </c>
      <c r="M232" s="140">
        <v>80</v>
      </c>
      <c r="N232" s="146"/>
      <c r="P232" s="4" t="s">
        <v>214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265</v>
      </c>
      <c r="B233" s="114" t="str">
        <f>VLOOKUP(A233,'Data pick slip'!B:F,5,FALSE)</f>
        <v>KHJ-MC400-00</v>
      </c>
      <c r="F233" s="157" t="s">
        <v>270</v>
      </c>
      <c r="I233" s="140" t="s">
        <v>804</v>
      </c>
      <c r="J233" s="267" t="s">
        <v>1387</v>
      </c>
      <c r="K233" s="51" t="s">
        <v>225</v>
      </c>
      <c r="L233" s="4">
        <v>45026</v>
      </c>
      <c r="M233" s="140">
        <v>21</v>
      </c>
      <c r="N233" s="146"/>
      <c r="P233" s="4" t="s">
        <v>214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266</v>
      </c>
      <c r="B234" s="114" t="str">
        <f>VLOOKUP(A234,'Data pick slip'!B:F,5,FALSE)</f>
        <v>KHJ-MC500-00</v>
      </c>
      <c r="F234" s="157" t="s">
        <v>270</v>
      </c>
      <c r="I234" s="140" t="s">
        <v>804</v>
      </c>
      <c r="J234" s="267" t="s">
        <v>1387</v>
      </c>
      <c r="K234" s="51" t="s">
        <v>225</v>
      </c>
      <c r="L234" s="4">
        <v>45026</v>
      </c>
      <c r="M234" s="140">
        <v>4</v>
      </c>
      <c r="N234" s="146"/>
      <c r="P234" s="4" t="s">
        <v>214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267</v>
      </c>
      <c r="B235" s="114" t="str">
        <f>VLOOKUP(A235,'Data pick slip'!B:F,5,FALSE)</f>
        <v>KHJ-MC600-00</v>
      </c>
      <c r="F235" s="157" t="s">
        <v>270</v>
      </c>
      <c r="I235" s="140" t="s">
        <v>804</v>
      </c>
      <c r="J235" s="267" t="s">
        <v>1387</v>
      </c>
      <c r="K235" s="51" t="s">
        <v>225</v>
      </c>
      <c r="L235" s="4">
        <v>45026</v>
      </c>
      <c r="M235" s="140">
        <v>14</v>
      </c>
      <c r="N235" s="146"/>
      <c r="P235" s="4" t="s">
        <v>214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268</v>
      </c>
      <c r="B236" s="114" t="str">
        <f>VLOOKUP(A236,'Data pick slip'!B:F,5,FALSE)</f>
        <v>KHJ-MC700-00</v>
      </c>
      <c r="F236" s="157" t="s">
        <v>270</v>
      </c>
      <c r="I236" s="140" t="s">
        <v>804</v>
      </c>
      <c r="J236" s="267" t="s">
        <v>1387</v>
      </c>
      <c r="K236" s="51" t="s">
        <v>225</v>
      </c>
      <c r="L236" s="4">
        <v>45026</v>
      </c>
      <c r="M236" s="140">
        <v>1</v>
      </c>
      <c r="P236" s="4" t="s">
        <v>214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267</v>
      </c>
      <c r="B237" s="114" t="str">
        <f>VLOOKUP(A237,'Data pick slip'!B:F,5,FALSE)</f>
        <v>KHJ-MC600-00</v>
      </c>
      <c r="F237" s="157" t="s">
        <v>270</v>
      </c>
      <c r="I237" s="140" t="s">
        <v>804</v>
      </c>
      <c r="J237" s="267" t="s">
        <v>1387</v>
      </c>
      <c r="K237" s="51" t="s">
        <v>225</v>
      </c>
      <c r="L237" s="4">
        <v>45026</v>
      </c>
      <c r="M237" s="140">
        <v>9</v>
      </c>
      <c r="P237" s="4" t="s">
        <v>214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261</v>
      </c>
      <c r="B238" s="114" t="str">
        <f>VLOOKUP(A238,'Data pick slip'!B:F,5,FALSE)</f>
        <v>KHJ-MC100-00</v>
      </c>
      <c r="F238" s="157" t="s">
        <v>270</v>
      </c>
      <c r="H238" s="138">
        <v>1777</v>
      </c>
      <c r="I238" s="140" t="e">
        <f>VLOOKUP(H238,Stock_list!A:R,18,FALSE)</f>
        <v>#N/A</v>
      </c>
      <c r="J238" s="139" t="e">
        <f>VLOOKUP(H238,Stock_list!A:S,17,FALSE)</f>
        <v>#N/A</v>
      </c>
      <c r="K238" s="51" t="e">
        <f>VLOOKUP(H238,Stock_list!A:T,16,FALSE)</f>
        <v>#N/A</v>
      </c>
      <c r="L238" s="4">
        <v>45027</v>
      </c>
      <c r="M238" s="143">
        <v>69</v>
      </c>
      <c r="P238" s="4" t="e">
        <f>VLOOKUP(H238,Stock_list!A:Y,25,FALSE)</f>
        <v>#N/A</v>
      </c>
      <c r="T238" s="144"/>
      <c r="U238" s="145" t="e">
        <f>VLOOKUP(H238,Stock_list!A:N,14,FALSE)</f>
        <v>#N/A</v>
      </c>
    </row>
    <row r="239" spans="1:21" ht="28.5" customHeight="1">
      <c r="A239" s="159" t="s">
        <v>264</v>
      </c>
      <c r="B239" s="114" t="str">
        <f>VLOOKUP(A239,'Data pick slip'!B:F,5,FALSE)</f>
        <v>KHJ-MC200-00</v>
      </c>
      <c r="F239" s="157" t="s">
        <v>270</v>
      </c>
      <c r="H239" s="138">
        <v>1777</v>
      </c>
      <c r="I239" s="140" t="e">
        <f>VLOOKUP(H239,Stock_list!A:R,18,FALSE)</f>
        <v>#N/A</v>
      </c>
      <c r="J239" s="139" t="e">
        <f>VLOOKUP(H239,Stock_list!A:S,17,FALSE)</f>
        <v>#N/A</v>
      </c>
      <c r="K239" s="51" t="e">
        <f>VLOOKUP(H239,Stock_list!A:T,16,FALSE)</f>
        <v>#N/A</v>
      </c>
      <c r="L239" s="4">
        <v>45027</v>
      </c>
      <c r="M239" s="143">
        <v>8</v>
      </c>
      <c r="P239" s="4" t="e">
        <f>VLOOKUP(H239,Stock_list!A:Y,25,FALSE)</f>
        <v>#N/A</v>
      </c>
      <c r="T239" s="144"/>
      <c r="U239" s="145" t="e">
        <f>VLOOKUP(H239,Stock_list!A:N,14,FALSE)</f>
        <v>#N/A</v>
      </c>
    </row>
    <row r="240" spans="1:21" ht="20.25" customHeight="1">
      <c r="A240" s="159" t="s">
        <v>265</v>
      </c>
      <c r="B240" s="114" t="str">
        <f>VLOOKUP(A240,'Data pick slip'!B:F,5,FALSE)</f>
        <v>KHJ-MC400-00</v>
      </c>
      <c r="F240" s="157" t="s">
        <v>270</v>
      </c>
      <c r="H240" s="138">
        <v>1777</v>
      </c>
      <c r="I240" s="140" t="e">
        <f>VLOOKUP(H240,Stock_list!A:R,18,FALSE)</f>
        <v>#N/A</v>
      </c>
      <c r="J240" s="139" t="e">
        <f>VLOOKUP(H240,Stock_list!A:S,17,FALSE)</f>
        <v>#N/A</v>
      </c>
      <c r="K240" s="51" t="e">
        <f>VLOOKUP(H240,Stock_list!A:T,16,FALSE)</f>
        <v>#N/A</v>
      </c>
      <c r="L240" s="4">
        <v>45027</v>
      </c>
      <c r="M240" s="143">
        <v>4</v>
      </c>
      <c r="P240" s="4" t="e">
        <f>VLOOKUP(H240,Stock_list!A:Y,25,FALSE)</f>
        <v>#N/A</v>
      </c>
      <c r="T240" s="144"/>
      <c r="U240" s="145" t="e">
        <f>VLOOKUP(H240,Stock_list!A:N,14,FALSE)</f>
        <v>#N/A</v>
      </c>
    </row>
    <row r="241" spans="1:21" ht="22.5" customHeight="1">
      <c r="A241" s="159" t="s">
        <v>266</v>
      </c>
      <c r="B241" s="114" t="str">
        <f>VLOOKUP(A241,'Data pick slip'!B:F,5,FALSE)</f>
        <v>KHJ-MC500-00</v>
      </c>
      <c r="F241" s="157" t="s">
        <v>270</v>
      </c>
      <c r="H241" s="138">
        <v>1777</v>
      </c>
      <c r="I241" s="140" t="e">
        <f>VLOOKUP(H241,Stock_list!A:R,18,FALSE)</f>
        <v>#N/A</v>
      </c>
      <c r="J241" s="139" t="e">
        <f>VLOOKUP(H241,Stock_list!A:S,17,FALSE)</f>
        <v>#N/A</v>
      </c>
      <c r="K241" s="51" t="e">
        <f>VLOOKUP(H241,Stock_list!A:T,16,FALSE)</f>
        <v>#N/A</v>
      </c>
      <c r="L241" s="4">
        <v>45027</v>
      </c>
      <c r="M241" s="143">
        <v>1</v>
      </c>
      <c r="P241" s="4" t="e">
        <f>VLOOKUP(H241,Stock_list!A:Y,25,FALSE)</f>
        <v>#N/A</v>
      </c>
      <c r="T241" s="144"/>
      <c r="U241" s="145" t="e">
        <f>VLOOKUP(H241,Stock_list!A:N,14,FALSE)</f>
        <v>#N/A</v>
      </c>
    </row>
    <row r="242" spans="1:21" ht="20.25" customHeight="1">
      <c r="A242" s="159" t="s">
        <v>272</v>
      </c>
      <c r="B242" s="114" t="str">
        <f>VLOOKUP(A242,'Data pick slip'!B:F,5,FALSE)</f>
        <v>KLJ-MC100-00</v>
      </c>
      <c r="F242" s="157" t="s">
        <v>270</v>
      </c>
      <c r="H242" s="138">
        <v>1898</v>
      </c>
      <c r="I242" s="140" t="e">
        <f>VLOOKUP(H242,Stock_list!A:R,18,FALSE)</f>
        <v>#N/A</v>
      </c>
      <c r="J242" s="139" t="e">
        <f>VLOOKUP(H242,Stock_list!A:S,17,FALSE)</f>
        <v>#N/A</v>
      </c>
      <c r="K242" s="51" t="e">
        <f>VLOOKUP(H242,Stock_list!A:T,16,FALSE)</f>
        <v>#N/A</v>
      </c>
      <c r="L242" s="4">
        <v>45035</v>
      </c>
      <c r="M242" s="143">
        <v>120</v>
      </c>
      <c r="P242" s="4" t="e">
        <f>VLOOKUP(H242,Stock_list!A:Y,25,FALSE)</f>
        <v>#N/A</v>
      </c>
      <c r="T242" s="144"/>
      <c r="U242" s="145" t="e">
        <f>VLOOKUP(H242,Stock_list!A:N,14,FALSE)</f>
        <v>#N/A</v>
      </c>
    </row>
    <row r="243" spans="1:21" ht="23.25" customHeight="1">
      <c r="A243" s="159" t="s">
        <v>273</v>
      </c>
      <c r="B243" s="114" t="str">
        <f>VLOOKUP(A243,'Data pick slip'!B:F,5,FALSE)</f>
        <v>KLJ-MC200-00</v>
      </c>
      <c r="F243" s="157" t="s">
        <v>270</v>
      </c>
      <c r="H243" s="138">
        <v>1898</v>
      </c>
      <c r="I243" s="140" t="e">
        <f>VLOOKUP(H243,Stock_list!A:R,18,FALSE)</f>
        <v>#N/A</v>
      </c>
      <c r="J243" s="139" t="e">
        <f>VLOOKUP(H243,Stock_list!A:S,17,FALSE)</f>
        <v>#N/A</v>
      </c>
      <c r="K243" s="51" t="e">
        <f>VLOOKUP(H243,Stock_list!A:T,16,FALSE)</f>
        <v>#N/A</v>
      </c>
      <c r="L243" s="4">
        <v>45035</v>
      </c>
      <c r="M243" s="143">
        <v>30</v>
      </c>
      <c r="P243" s="4" t="e">
        <f>VLOOKUP(H243,Stock_list!A:Y,25,FALSE)</f>
        <v>#N/A</v>
      </c>
      <c r="T243" s="144"/>
      <c r="U243" s="145" t="e">
        <f>VLOOKUP(H243,Stock_list!A:N,14,FALSE)</f>
        <v>#N/A</v>
      </c>
    </row>
    <row r="244" spans="1:21" ht="18" customHeight="1">
      <c r="A244" s="159" t="s">
        <v>274</v>
      </c>
      <c r="B244" s="114" t="str">
        <f>VLOOKUP(A244,'Data pick slip'!B:F,5,FALSE)</f>
        <v>KLJ-MC400-00</v>
      </c>
      <c r="F244" s="157" t="s">
        <v>270</v>
      </c>
      <c r="H244" s="138">
        <v>1898</v>
      </c>
      <c r="I244" s="140" t="e">
        <f>VLOOKUP(H244,Stock_list!A:R,18,FALSE)</f>
        <v>#N/A</v>
      </c>
      <c r="J244" s="139" t="e">
        <f>VLOOKUP(H244,Stock_list!A:S,17,FALSE)</f>
        <v>#N/A</v>
      </c>
      <c r="K244" s="51" t="e">
        <f>VLOOKUP(H244,Stock_list!A:T,16,FALSE)</f>
        <v>#N/A</v>
      </c>
      <c r="L244" s="4">
        <v>45035</v>
      </c>
      <c r="M244" s="143">
        <v>12</v>
      </c>
      <c r="P244" s="4" t="e">
        <f>VLOOKUP(H244,Stock_list!A:Y,25,FALSE)</f>
        <v>#N/A</v>
      </c>
      <c r="T244" s="144"/>
      <c r="U244" s="145" t="e">
        <f>VLOOKUP(H244,Stock_list!A:N,14,FALSE)</f>
        <v>#N/A</v>
      </c>
    </row>
    <row r="245" spans="1:21" ht="16.5" customHeight="1">
      <c r="A245" s="159" t="s">
        <v>275</v>
      </c>
      <c r="B245" s="114" t="str">
        <f>VLOOKUP(A245,'Data pick slip'!B:F,5,FALSE)</f>
        <v>KLJ-MC500-00</v>
      </c>
      <c r="F245" s="157" t="s">
        <v>270</v>
      </c>
      <c r="H245" s="138">
        <v>1898</v>
      </c>
      <c r="I245" s="140" t="e">
        <f>VLOOKUP(H245,Stock_list!A:R,18,FALSE)</f>
        <v>#N/A</v>
      </c>
      <c r="J245" s="139" t="e">
        <f>VLOOKUP(H245,Stock_list!A:S,17,FALSE)</f>
        <v>#N/A</v>
      </c>
      <c r="K245" s="51" t="e">
        <f>VLOOKUP(H245,Stock_list!A:T,16,FALSE)</f>
        <v>#N/A</v>
      </c>
      <c r="L245" s="4">
        <v>45035</v>
      </c>
      <c r="M245" s="143">
        <v>3</v>
      </c>
      <c r="P245" s="4" t="e">
        <f>VLOOKUP(H245,Stock_list!A:Y,25,FALSE)</f>
        <v>#N/A</v>
      </c>
      <c r="T245" s="144"/>
      <c r="U245" s="145" t="e">
        <f>VLOOKUP(H245,Stock_list!A:N,14,FALSE)</f>
        <v>#N/A</v>
      </c>
    </row>
    <row r="246" spans="1:21" ht="16.5" customHeight="1">
      <c r="A246" s="159" t="s">
        <v>276</v>
      </c>
      <c r="B246" s="114" t="str">
        <f>VLOOKUP(A246,'Data pick slip'!B:F,5,FALSE)</f>
        <v>KLJ-MC600-00</v>
      </c>
      <c r="F246" s="157" t="s">
        <v>270</v>
      </c>
      <c r="H246" s="138">
        <v>1898</v>
      </c>
      <c r="I246" s="140" t="e">
        <f>VLOOKUP(H246,Stock_list!A:R,18,FALSE)</f>
        <v>#N/A</v>
      </c>
      <c r="J246" s="139" t="e">
        <f>VLOOKUP(H246,Stock_list!A:S,17,FALSE)</f>
        <v>#N/A</v>
      </c>
      <c r="K246" s="51" t="e">
        <f>VLOOKUP(H246,Stock_list!A:T,16,FALSE)</f>
        <v>#N/A</v>
      </c>
      <c r="L246" s="4">
        <v>45035</v>
      </c>
      <c r="M246" s="143">
        <v>1</v>
      </c>
      <c r="P246" s="4" t="e">
        <f>VLOOKUP(H246,Stock_list!A:Y,25,FALSE)</f>
        <v>#N/A</v>
      </c>
      <c r="T246" s="144"/>
      <c r="U246" s="145" t="e">
        <f>VLOOKUP(H246,Stock_list!A:N,14,FALSE)</f>
        <v>#N/A</v>
      </c>
    </row>
    <row r="247" spans="1:21" ht="16.5" customHeight="1">
      <c r="A247" s="159" t="s">
        <v>277</v>
      </c>
      <c r="B247" s="114" t="str">
        <f>VLOOKUP(A247,'Data pick slip'!B:F,5,FALSE)</f>
        <v>KLJ-MC700-00</v>
      </c>
      <c r="F247" s="157" t="s">
        <v>270</v>
      </c>
      <c r="H247" s="138">
        <v>1898</v>
      </c>
      <c r="I247" s="140" t="e">
        <f>VLOOKUP(H247,Stock_list!A:R,18,FALSE)</f>
        <v>#N/A</v>
      </c>
      <c r="J247" s="139" t="e">
        <f>VLOOKUP(H247,Stock_list!A:S,17,FALSE)</f>
        <v>#N/A</v>
      </c>
      <c r="K247" s="51" t="e">
        <f>VLOOKUP(H247,Stock_list!A:T,16,FALSE)</f>
        <v>#N/A</v>
      </c>
      <c r="L247" s="4">
        <v>45035</v>
      </c>
      <c r="M247" s="143">
        <v>1</v>
      </c>
      <c r="P247" s="4" t="e">
        <f>VLOOKUP(H247,Stock_list!A:Y,25,FALSE)</f>
        <v>#N/A</v>
      </c>
      <c r="T247" s="144"/>
      <c r="U247" s="145" t="e">
        <f>VLOOKUP(H247,Stock_list!A:N,14,FALSE)</f>
        <v>#N/A</v>
      </c>
    </row>
    <row r="248" spans="1:21" ht="21.75" customHeight="1">
      <c r="A248" s="159" t="s">
        <v>261</v>
      </c>
      <c r="B248" s="114" t="str">
        <f>VLOOKUP(A248,'Data pick slip'!B:F,5,FALSE)</f>
        <v>KHJ-MC100-00</v>
      </c>
      <c r="F248" s="157" t="s">
        <v>453</v>
      </c>
      <c r="I248" s="390" t="s">
        <v>1429</v>
      </c>
      <c r="J248" s="269" t="s">
        <v>1413</v>
      </c>
      <c r="K248" s="51" t="s">
        <v>520</v>
      </c>
      <c r="L248" s="4">
        <v>45034</v>
      </c>
      <c r="M248" s="140">
        <v>167</v>
      </c>
      <c r="N248" s="146"/>
      <c r="P248" s="4" t="s">
        <v>214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264</v>
      </c>
      <c r="B249" s="114" t="str">
        <f>VLOOKUP(A249,'Data pick slip'!B:F,5,FALSE)</f>
        <v>KHJ-MC200-00</v>
      </c>
      <c r="F249" s="157" t="s">
        <v>453</v>
      </c>
      <c r="I249" s="390" t="s">
        <v>1429</v>
      </c>
      <c r="J249" s="269" t="s">
        <v>1413</v>
      </c>
      <c r="K249" s="51" t="s">
        <v>520</v>
      </c>
      <c r="L249" s="4">
        <v>45034</v>
      </c>
      <c r="M249" s="140">
        <v>80</v>
      </c>
      <c r="N249" s="146"/>
      <c r="P249" s="4" t="s">
        <v>214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265</v>
      </c>
      <c r="B250" s="114" t="str">
        <f>VLOOKUP(A250,'Data pick slip'!B:F,5,FALSE)</f>
        <v>KHJ-MC400-00</v>
      </c>
      <c r="F250" s="157" t="s">
        <v>453</v>
      </c>
      <c r="I250" s="390" t="s">
        <v>1429</v>
      </c>
      <c r="J250" s="269" t="s">
        <v>1413</v>
      </c>
      <c r="K250" s="51" t="s">
        <v>520</v>
      </c>
      <c r="L250" s="4">
        <v>45034</v>
      </c>
      <c r="M250" s="140">
        <v>23</v>
      </c>
      <c r="N250" s="146"/>
      <c r="P250" s="4" t="s">
        <v>214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266</v>
      </c>
      <c r="B251" s="114" t="str">
        <f>VLOOKUP(A251,'Data pick slip'!B:F,5,FALSE)</f>
        <v>KHJ-MC500-00</v>
      </c>
      <c r="F251" s="157" t="s">
        <v>453</v>
      </c>
      <c r="I251" s="390" t="s">
        <v>1429</v>
      </c>
      <c r="J251" s="269" t="s">
        <v>1413</v>
      </c>
      <c r="K251" s="51" t="s">
        <v>520</v>
      </c>
      <c r="L251" s="4">
        <v>45034</v>
      </c>
      <c r="M251" s="140">
        <v>4</v>
      </c>
      <c r="N251" s="146"/>
      <c r="P251" s="4" t="s">
        <v>214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272</v>
      </c>
      <c r="B252" s="114" t="str">
        <f>VLOOKUP(A252,'Data pick slip'!B:F,5,FALSE)</f>
        <v>KLJ-MC100-00</v>
      </c>
      <c r="F252" s="157" t="s">
        <v>453</v>
      </c>
      <c r="I252" s="140" t="s">
        <v>371</v>
      </c>
      <c r="J252" s="270" t="s">
        <v>1412</v>
      </c>
      <c r="K252" s="51" t="s">
        <v>1411</v>
      </c>
      <c r="L252" s="4">
        <v>45034</v>
      </c>
      <c r="M252" s="140">
        <v>10</v>
      </c>
      <c r="P252" s="4" t="s">
        <v>214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273</v>
      </c>
      <c r="B253" s="114" t="str">
        <f>VLOOKUP(A253,'Data pick slip'!B:F,5,FALSE)</f>
        <v>KLJ-MC200-00</v>
      </c>
      <c r="F253" s="157" t="s">
        <v>453</v>
      </c>
      <c r="I253" s="140" t="s">
        <v>371</v>
      </c>
      <c r="J253" s="270" t="s">
        <v>1412</v>
      </c>
      <c r="K253" s="51" t="s">
        <v>1411</v>
      </c>
      <c r="L253" s="4">
        <v>45034</v>
      </c>
      <c r="M253" s="140">
        <v>1</v>
      </c>
      <c r="P253" s="4" t="s">
        <v>214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261</v>
      </c>
      <c r="B254" s="114" t="str">
        <f>VLOOKUP(A254,'Data pick slip'!B:F,5,FALSE)</f>
        <v>KHJ-MC100-00</v>
      </c>
      <c r="F254" s="157" t="s">
        <v>270</v>
      </c>
      <c r="H254" s="138">
        <v>1900</v>
      </c>
      <c r="I254" s="140" t="e">
        <f>VLOOKUP(H254,Stock_list!A:R,18,FALSE)</f>
        <v>#N/A</v>
      </c>
      <c r="J254" s="139" t="e">
        <f>VLOOKUP(H254,Stock_list!A:S,17,FALSE)</f>
        <v>#N/A</v>
      </c>
      <c r="K254" s="51" t="e">
        <f>VLOOKUP(H254,Stock_list!A:T,16,FALSE)</f>
        <v>#N/A</v>
      </c>
      <c r="L254" s="4">
        <v>45156</v>
      </c>
      <c r="M254" s="140">
        <v>22</v>
      </c>
      <c r="N254" s="143"/>
      <c r="P254" s="4" t="e">
        <f>VLOOKUP(H254,Stock_list!A:Y,25,FALSE)</f>
        <v>#N/A</v>
      </c>
      <c r="T254" s="144"/>
      <c r="U254" s="145" t="e">
        <f>VLOOKUP(H254,Stock_list!A:N,14,FALSE)</f>
        <v>#N/A</v>
      </c>
    </row>
    <row r="255" spans="1:21" ht="16.5" customHeight="1">
      <c r="A255" s="159" t="s">
        <v>264</v>
      </c>
      <c r="B255" s="114" t="str">
        <f>VLOOKUP(A255,'Data pick slip'!B:F,5,FALSE)</f>
        <v>KHJ-MC200-00</v>
      </c>
      <c r="F255" s="157" t="s">
        <v>270</v>
      </c>
      <c r="H255" s="138">
        <v>1900</v>
      </c>
      <c r="I255" s="140" t="e">
        <f>VLOOKUP(H255,Stock_list!A:R,18,FALSE)</f>
        <v>#N/A</v>
      </c>
      <c r="J255" s="139" t="e">
        <f>VLOOKUP(H255,Stock_list!A:S,17,FALSE)</f>
        <v>#N/A</v>
      </c>
      <c r="K255" s="51" t="e">
        <f>VLOOKUP(H255,Stock_list!A:T,16,FALSE)</f>
        <v>#N/A</v>
      </c>
      <c r="L255" s="4">
        <v>45156</v>
      </c>
      <c r="M255" s="140">
        <v>2</v>
      </c>
      <c r="N255" s="143"/>
      <c r="P255" s="4" t="e">
        <f>VLOOKUP(H255,Stock_list!A:Y,25,FALSE)</f>
        <v>#N/A</v>
      </c>
      <c r="T255" s="144"/>
      <c r="U255" s="145" t="e">
        <f>VLOOKUP(H255,Stock_list!A:N,14,FALSE)</f>
        <v>#N/A</v>
      </c>
    </row>
    <row r="256" spans="1:21" ht="16.5" customHeight="1">
      <c r="A256" s="159" t="s">
        <v>261</v>
      </c>
      <c r="B256" s="114" t="str">
        <f>VLOOKUP(A256,'Data pick slip'!B:F,5,FALSE)</f>
        <v>KHJ-MC100-00</v>
      </c>
      <c r="F256" s="157" t="s">
        <v>270</v>
      </c>
      <c r="H256" s="138">
        <v>1902</v>
      </c>
      <c r="I256" s="140" t="e">
        <f>VLOOKUP(H256,Stock_list!A:R,18,FALSE)</f>
        <v>#N/A</v>
      </c>
      <c r="J256" s="139" t="e">
        <f>VLOOKUP(H256,Stock_list!A:S,17,FALSE)</f>
        <v>#N/A</v>
      </c>
      <c r="K256" s="51" t="e">
        <f>VLOOKUP(H256,Stock_list!A:T,16,FALSE)</f>
        <v>#N/A</v>
      </c>
      <c r="L256" s="4">
        <v>45042</v>
      </c>
      <c r="M256" s="143">
        <v>120</v>
      </c>
      <c r="P256" s="4" t="e">
        <f>VLOOKUP(H256,Stock_list!A:Y,25,FALSE)</f>
        <v>#N/A</v>
      </c>
      <c r="T256" s="144"/>
      <c r="U256" s="145" t="e">
        <f>VLOOKUP(H256,Stock_list!A:N,14,FALSE)</f>
        <v>#N/A</v>
      </c>
    </row>
    <row r="257" spans="1:21" ht="16.5" customHeight="1">
      <c r="A257" s="159" t="s">
        <v>264</v>
      </c>
      <c r="B257" s="114" t="str">
        <f>VLOOKUP(A257,'Data pick slip'!B:F,5,FALSE)</f>
        <v>KHJ-MC200-00</v>
      </c>
      <c r="F257" s="157" t="s">
        <v>270</v>
      </c>
      <c r="H257" s="138">
        <v>1902</v>
      </c>
      <c r="I257" s="140" t="e">
        <f>VLOOKUP(H257,Stock_list!A:R,18,FALSE)</f>
        <v>#N/A</v>
      </c>
      <c r="J257" s="139" t="e">
        <f>VLOOKUP(H257,Stock_list!A:S,17,FALSE)</f>
        <v>#N/A</v>
      </c>
      <c r="K257" s="51" t="e">
        <f>VLOOKUP(H257,Stock_list!A:T,16,FALSE)</f>
        <v>#N/A</v>
      </c>
      <c r="L257" s="4">
        <v>45042</v>
      </c>
      <c r="M257" s="143">
        <v>25</v>
      </c>
      <c r="P257" s="4" t="e">
        <f>VLOOKUP(H257,Stock_list!A:Y,25,FALSE)</f>
        <v>#N/A</v>
      </c>
      <c r="T257" s="144"/>
      <c r="U257" s="145" t="e">
        <f>VLOOKUP(H257,Stock_list!A:N,14,FALSE)</f>
        <v>#N/A</v>
      </c>
    </row>
    <row r="258" spans="1:21" ht="16.5" customHeight="1">
      <c r="A258" s="159" t="s">
        <v>265</v>
      </c>
      <c r="B258" s="114" t="str">
        <f>VLOOKUP(A258,'Data pick slip'!B:F,5,FALSE)</f>
        <v>KHJ-MC400-00</v>
      </c>
      <c r="F258" s="157" t="s">
        <v>270</v>
      </c>
      <c r="H258" s="138">
        <v>1902</v>
      </c>
      <c r="I258" s="140" t="e">
        <f>VLOOKUP(H258,Stock_list!A:R,18,FALSE)</f>
        <v>#N/A</v>
      </c>
      <c r="J258" s="139" t="e">
        <f>VLOOKUP(H258,Stock_list!A:S,17,FALSE)</f>
        <v>#N/A</v>
      </c>
      <c r="K258" s="51" t="e">
        <f>VLOOKUP(H258,Stock_list!A:T,16,FALSE)</f>
        <v>#N/A</v>
      </c>
      <c r="L258" s="4">
        <v>45042</v>
      </c>
      <c r="M258" s="143">
        <v>8</v>
      </c>
      <c r="P258" s="4" t="e">
        <f>VLOOKUP(H258,Stock_list!A:Y,25,FALSE)</f>
        <v>#N/A</v>
      </c>
      <c r="T258" s="144"/>
      <c r="U258" s="145" t="e">
        <f>VLOOKUP(H258,Stock_list!A:N,14,FALSE)</f>
        <v>#N/A</v>
      </c>
    </row>
    <row r="259" spans="1:21" ht="16.5" customHeight="1">
      <c r="A259" s="159" t="s">
        <v>266</v>
      </c>
      <c r="B259" s="114" t="str">
        <f>VLOOKUP(A259,'Data pick slip'!B:F,5,FALSE)</f>
        <v>KHJ-MC500-00</v>
      </c>
      <c r="F259" s="157" t="s">
        <v>270</v>
      </c>
      <c r="H259" s="138">
        <v>1902</v>
      </c>
      <c r="I259" s="140" t="e">
        <f>VLOOKUP(H259,Stock_list!A:R,18,FALSE)</f>
        <v>#N/A</v>
      </c>
      <c r="J259" s="139" t="e">
        <f>VLOOKUP(H259,Stock_list!A:S,17,FALSE)</f>
        <v>#N/A</v>
      </c>
      <c r="K259" s="51" t="e">
        <f>VLOOKUP(H259,Stock_list!A:T,16,FALSE)</f>
        <v>#N/A</v>
      </c>
      <c r="L259" s="4">
        <v>45042</v>
      </c>
      <c r="M259" s="143">
        <v>5</v>
      </c>
      <c r="P259" s="4" t="e">
        <f>VLOOKUP(H259,Stock_list!A:Y,25,FALSE)</f>
        <v>#N/A</v>
      </c>
      <c r="T259" s="144"/>
      <c r="U259" s="145" t="e">
        <f>VLOOKUP(H259,Stock_list!A:N,14,FALSE)</f>
        <v>#N/A</v>
      </c>
    </row>
    <row r="260" spans="1:21" ht="16.5" customHeight="1">
      <c r="A260" s="159" t="s">
        <v>267</v>
      </c>
      <c r="B260" s="114" t="str">
        <f>VLOOKUP(A260,'Data pick slip'!B:F,5,FALSE)</f>
        <v>KHJ-MC600-00</v>
      </c>
      <c r="F260" s="157" t="s">
        <v>270</v>
      </c>
      <c r="H260" s="138">
        <v>1902</v>
      </c>
      <c r="I260" s="140" t="e">
        <f>VLOOKUP(H260,Stock_list!A:R,18,FALSE)</f>
        <v>#N/A</v>
      </c>
      <c r="J260" s="139" t="e">
        <f>VLOOKUP(H260,Stock_list!A:S,17,FALSE)</f>
        <v>#N/A</v>
      </c>
      <c r="K260" s="51" t="e">
        <f>VLOOKUP(H260,Stock_list!A:T,16,FALSE)</f>
        <v>#N/A</v>
      </c>
      <c r="L260" s="4">
        <v>45042</v>
      </c>
      <c r="M260" s="143">
        <v>1</v>
      </c>
      <c r="P260" s="4" t="e">
        <f>VLOOKUP(H260,Stock_list!A:Y,25,FALSE)</f>
        <v>#N/A</v>
      </c>
      <c r="T260" s="144"/>
      <c r="U260" s="145" t="e">
        <f>VLOOKUP(H260,Stock_list!A:N,14,FALSE)</f>
        <v>#N/A</v>
      </c>
    </row>
    <row r="261" spans="1:21" ht="16.5" customHeight="1">
      <c r="A261" s="159" t="s">
        <v>261</v>
      </c>
      <c r="B261" s="114" t="str">
        <f>VLOOKUP(A261,'Data pick slip'!B:F,5,FALSE)</f>
        <v>KHJ-MC100-00</v>
      </c>
      <c r="F261" s="157" t="s">
        <v>227</v>
      </c>
      <c r="H261" s="138">
        <v>1905</v>
      </c>
      <c r="I261" s="140" t="e">
        <f>VLOOKUP(H261,Stock_list!A:R,18,FALSE)</f>
        <v>#N/A</v>
      </c>
      <c r="J261" s="139" t="e">
        <f>VLOOKUP(H261,Stock_list!A:S,17,FALSE)</f>
        <v>#N/A</v>
      </c>
      <c r="K261" s="51" t="e">
        <f>VLOOKUP(H261,Stock_list!A:T,16,FALSE)</f>
        <v>#N/A</v>
      </c>
      <c r="L261" s="4">
        <v>45044</v>
      </c>
      <c r="M261" s="143">
        <v>60</v>
      </c>
      <c r="P261" s="4" t="e">
        <f>VLOOKUP(H261,Stock_list!A:Y,25,FALSE)</f>
        <v>#N/A</v>
      </c>
      <c r="T261" s="144"/>
      <c r="U261" s="145" t="e">
        <f>VLOOKUP(H261,Stock_list!A:N,14,FALSE)</f>
        <v>#N/A</v>
      </c>
    </row>
    <row r="262" spans="1:21" ht="16.5" customHeight="1">
      <c r="A262" s="159" t="s">
        <v>264</v>
      </c>
      <c r="B262" s="114" t="str">
        <f>VLOOKUP(A262,'Data pick slip'!B:F,5,FALSE)</f>
        <v>KHJ-MC200-00</v>
      </c>
      <c r="F262" s="157" t="s">
        <v>227</v>
      </c>
      <c r="H262" s="138">
        <v>1905</v>
      </c>
      <c r="I262" s="140" t="e">
        <f>VLOOKUP(H262,Stock_list!A:R,18,FALSE)</f>
        <v>#N/A</v>
      </c>
      <c r="J262" s="139" t="e">
        <f>VLOOKUP(H262,Stock_list!A:S,17,FALSE)</f>
        <v>#N/A</v>
      </c>
      <c r="K262" s="51" t="e">
        <f>VLOOKUP(H262,Stock_list!A:T,16,FALSE)</f>
        <v>#N/A</v>
      </c>
      <c r="L262" s="4">
        <v>45044</v>
      </c>
      <c r="M262" s="143">
        <v>12</v>
      </c>
      <c r="P262" s="4" t="e">
        <f>VLOOKUP(H262,Stock_list!A:Y,25,FALSE)</f>
        <v>#N/A</v>
      </c>
      <c r="T262" s="144"/>
      <c r="U262" s="145" t="e">
        <f>VLOOKUP(H262,Stock_list!A:N,14,FALSE)</f>
        <v>#N/A</v>
      </c>
    </row>
    <row r="263" spans="1:21" ht="16.5" customHeight="1">
      <c r="A263" s="159" t="s">
        <v>265</v>
      </c>
      <c r="B263" s="114" t="str">
        <f>VLOOKUP(A263,'Data pick slip'!B:F,5,FALSE)</f>
        <v>KHJ-MC400-00</v>
      </c>
      <c r="F263" s="157" t="s">
        <v>227</v>
      </c>
      <c r="H263" s="138">
        <v>1905</v>
      </c>
      <c r="I263" s="140" t="e">
        <f>VLOOKUP(H263,Stock_list!A:R,18,FALSE)</f>
        <v>#N/A</v>
      </c>
      <c r="J263" s="139" t="e">
        <f>VLOOKUP(H263,Stock_list!A:S,17,FALSE)</f>
        <v>#N/A</v>
      </c>
      <c r="K263" s="51" t="e">
        <f>VLOOKUP(H263,Stock_list!A:T,16,FALSE)</f>
        <v>#N/A</v>
      </c>
      <c r="L263" s="4">
        <v>45044</v>
      </c>
      <c r="M263" s="143">
        <v>5</v>
      </c>
      <c r="P263" s="4" t="e">
        <f>VLOOKUP(H263,Stock_list!A:Y,25,FALSE)</f>
        <v>#N/A</v>
      </c>
      <c r="T263" s="144"/>
      <c r="U263" s="145" t="e">
        <f>VLOOKUP(H263,Stock_list!A:N,14,FALSE)</f>
        <v>#N/A</v>
      </c>
    </row>
    <row r="264" spans="1:21" ht="16.5" customHeight="1">
      <c r="A264" s="159" t="s">
        <v>266</v>
      </c>
      <c r="B264" s="114" t="str">
        <f>VLOOKUP(A264,'Data pick slip'!B:F,5,FALSE)</f>
        <v>KHJ-MC500-00</v>
      </c>
      <c r="F264" s="157" t="s">
        <v>227</v>
      </c>
      <c r="H264" s="138">
        <v>1905</v>
      </c>
      <c r="I264" s="140" t="e">
        <f>VLOOKUP(H264,Stock_list!A:R,18,FALSE)</f>
        <v>#N/A</v>
      </c>
      <c r="J264" s="139" t="e">
        <f>VLOOKUP(H264,Stock_list!A:S,17,FALSE)</f>
        <v>#N/A</v>
      </c>
      <c r="K264" s="51" t="e">
        <f>VLOOKUP(H264,Stock_list!A:T,16,FALSE)</f>
        <v>#N/A</v>
      </c>
      <c r="L264" s="4">
        <v>45044</v>
      </c>
      <c r="M264" s="143">
        <v>3</v>
      </c>
      <c r="P264" s="4" t="e">
        <f>VLOOKUP(H264,Stock_list!A:Y,25,FALSE)</f>
        <v>#N/A</v>
      </c>
      <c r="T264" s="144"/>
      <c r="U264" s="145" t="e">
        <f>VLOOKUP(H264,Stock_list!A:N,14,FALSE)</f>
        <v>#N/A</v>
      </c>
    </row>
    <row r="265" spans="1:21" ht="16.5" customHeight="1">
      <c r="A265" s="159" t="s">
        <v>267</v>
      </c>
      <c r="B265" s="114" t="str">
        <f>VLOOKUP(A265,'Data pick slip'!B:F,5,FALSE)</f>
        <v>KHJ-MC600-00</v>
      </c>
      <c r="F265" s="157" t="s">
        <v>227</v>
      </c>
      <c r="H265" s="138">
        <v>1905</v>
      </c>
      <c r="I265" s="140" t="e">
        <f>VLOOKUP(H265,Stock_list!A:R,18,FALSE)</f>
        <v>#N/A</v>
      </c>
      <c r="J265" s="139" t="e">
        <f>VLOOKUP(H265,Stock_list!A:S,17,FALSE)</f>
        <v>#N/A</v>
      </c>
      <c r="K265" s="51" t="e">
        <f>VLOOKUP(H265,Stock_list!A:T,16,FALSE)</f>
        <v>#N/A</v>
      </c>
      <c r="L265" s="4">
        <v>45044</v>
      </c>
      <c r="M265" s="143">
        <v>2</v>
      </c>
      <c r="P265" s="4" t="e">
        <f>VLOOKUP(H265,Stock_list!A:Y,25,FALSE)</f>
        <v>#N/A</v>
      </c>
      <c r="T265" s="144"/>
      <c r="U265" s="145" t="e">
        <f>VLOOKUP(H265,Stock_list!A:N,14,FALSE)</f>
        <v>#N/A</v>
      </c>
    </row>
    <row r="266" spans="1:21" ht="16.5" customHeight="1">
      <c r="A266" s="159" t="s">
        <v>261</v>
      </c>
      <c r="B266" s="114" t="str">
        <f>VLOOKUP(A266,'Data pick slip'!B:F,5,FALSE)</f>
        <v>KHJ-MC100-00</v>
      </c>
      <c r="F266" s="157" t="s">
        <v>270</v>
      </c>
      <c r="H266" s="138">
        <v>1909</v>
      </c>
      <c r="I266" s="140" t="e">
        <f>VLOOKUP(H266,Stock_list!A:R,18,FALSE)</f>
        <v>#N/A</v>
      </c>
      <c r="J266" s="139" t="e">
        <f>VLOOKUP(H266,Stock_list!A:S,17,FALSE)</f>
        <v>#N/A</v>
      </c>
      <c r="K266" s="51" t="e">
        <f>VLOOKUP(H266,Stock_list!A:T,16,FALSE)</f>
        <v>#N/A</v>
      </c>
      <c r="L266" s="4">
        <v>45054</v>
      </c>
      <c r="M266" s="143">
        <v>145</v>
      </c>
      <c r="P266" s="4" t="e">
        <f>VLOOKUP(H266,Stock_list!A:Y,25,FALSE)</f>
        <v>#N/A</v>
      </c>
      <c r="T266" s="144"/>
      <c r="U266" s="145" t="e">
        <f>VLOOKUP(H266,Stock_list!A:N,14,FALSE)</f>
        <v>#N/A</v>
      </c>
    </row>
    <row r="267" spans="1:21" ht="16.5" customHeight="1">
      <c r="A267" s="159" t="s">
        <v>264</v>
      </c>
      <c r="B267" s="114" t="str">
        <f>VLOOKUP(A267,'Data pick slip'!B:F,5,FALSE)</f>
        <v>KHJ-MC200-00</v>
      </c>
      <c r="F267" s="157" t="s">
        <v>270</v>
      </c>
      <c r="H267" s="138">
        <v>1909</v>
      </c>
      <c r="I267" s="140" t="e">
        <f>VLOOKUP(H267,Stock_list!A:R,18,FALSE)</f>
        <v>#N/A</v>
      </c>
      <c r="J267" s="139" t="e">
        <f>VLOOKUP(H267,Stock_list!A:S,17,FALSE)</f>
        <v>#N/A</v>
      </c>
      <c r="K267" s="51" t="e">
        <f>VLOOKUP(H267,Stock_list!A:T,16,FALSE)</f>
        <v>#N/A</v>
      </c>
      <c r="L267" s="4">
        <v>45054</v>
      </c>
      <c r="M267" s="143">
        <v>5</v>
      </c>
      <c r="P267" s="4" t="e">
        <f>VLOOKUP(H267,Stock_list!A:Y,25,FALSE)</f>
        <v>#N/A</v>
      </c>
      <c r="T267" s="144"/>
      <c r="U267" s="145" t="e">
        <f>VLOOKUP(H267,Stock_list!A:N,14,FALSE)</f>
        <v>#N/A</v>
      </c>
    </row>
    <row r="268" spans="1:21" ht="16.5" customHeight="1">
      <c r="A268" s="159" t="s">
        <v>267</v>
      </c>
      <c r="B268" s="114" t="str">
        <f>VLOOKUP(A268,'Data pick slip'!B:F,5,FALSE)</f>
        <v>KHJ-MC600-00</v>
      </c>
      <c r="F268" s="157" t="s">
        <v>270</v>
      </c>
      <c r="H268" s="138">
        <v>1909</v>
      </c>
      <c r="I268" s="140" t="e">
        <f>VLOOKUP(H268,Stock_list!A:R,18,FALSE)</f>
        <v>#N/A</v>
      </c>
      <c r="J268" s="139" t="e">
        <f>VLOOKUP(H268,Stock_list!A:S,17,FALSE)</f>
        <v>#N/A</v>
      </c>
      <c r="K268" s="51" t="e">
        <f>VLOOKUP(H268,Stock_list!A:T,16,FALSE)</f>
        <v>#N/A</v>
      </c>
      <c r="L268" s="4">
        <v>45054</v>
      </c>
      <c r="M268" s="143">
        <v>2</v>
      </c>
      <c r="P268" s="4" t="e">
        <f>VLOOKUP(H268,Stock_list!A:Y,25,FALSE)</f>
        <v>#N/A</v>
      </c>
      <c r="T268" s="144"/>
      <c r="U268" s="145" t="e">
        <f>VLOOKUP(H268,Stock_list!A:N,14,FALSE)</f>
        <v>#N/A</v>
      </c>
    </row>
    <row r="269" spans="1:21" ht="16.5" customHeight="1">
      <c r="A269" s="159" t="s">
        <v>261</v>
      </c>
      <c r="B269" s="114" t="str">
        <f>VLOOKUP(A269,'Data pick slip'!B:F,5,FALSE)</f>
        <v>KHJ-MC100-00</v>
      </c>
      <c r="F269" s="157" t="s">
        <v>270</v>
      </c>
      <c r="H269" s="138">
        <v>1910</v>
      </c>
      <c r="I269" s="140" t="e">
        <f>VLOOKUP(H269,Stock_list!A:R,18,FALSE)</f>
        <v>#N/A</v>
      </c>
      <c r="J269" s="139" t="e">
        <f>VLOOKUP(H269,Stock_list!A:S,17,FALSE)</f>
        <v>#N/A</v>
      </c>
      <c r="K269" s="51" t="e">
        <f>VLOOKUP(H269,Stock_list!A:T,16,FALSE)</f>
        <v>#N/A</v>
      </c>
      <c r="L269" s="4">
        <v>45069</v>
      </c>
      <c r="M269" s="140">
        <v>160</v>
      </c>
      <c r="N269" s="143"/>
      <c r="P269" s="4" t="e">
        <f>VLOOKUP(H269,Stock_list!A:Y,25,FALSE)</f>
        <v>#N/A</v>
      </c>
      <c r="T269" s="144"/>
      <c r="U269" s="145" t="e">
        <f>VLOOKUP(H269,Stock_list!A:N,14,FALSE)</f>
        <v>#N/A</v>
      </c>
    </row>
    <row r="270" spans="1:21" ht="16.5" customHeight="1">
      <c r="A270" s="159" t="s">
        <v>261</v>
      </c>
      <c r="B270" s="114" t="str">
        <f>VLOOKUP(A270,'Data pick slip'!B:F,5,FALSE)</f>
        <v>KHJ-MC100-00</v>
      </c>
      <c r="F270" s="157" t="s">
        <v>270</v>
      </c>
      <c r="H270" s="138">
        <v>1911</v>
      </c>
      <c r="I270" s="140" t="e">
        <f>VLOOKUP(H270,Stock_list!A:R,18,FALSE)</f>
        <v>#N/A</v>
      </c>
      <c r="J270" s="139" t="e">
        <f>VLOOKUP(H270,Stock_list!A:S,17,FALSE)</f>
        <v>#N/A</v>
      </c>
      <c r="K270" s="51" t="e">
        <f>VLOOKUP(H270,Stock_list!A:T,16,FALSE)</f>
        <v>#N/A</v>
      </c>
      <c r="L270" s="4">
        <v>45054</v>
      </c>
      <c r="M270" s="140">
        <v>40</v>
      </c>
      <c r="P270" s="4" t="e">
        <f>VLOOKUP(H270,Stock_list!A:Y,25,FALSE)</f>
        <v>#N/A</v>
      </c>
      <c r="Q270" s="143"/>
      <c r="T270" s="144"/>
      <c r="U270" s="145" t="e">
        <f>VLOOKUP(H270,Stock_list!A:N,14,FALSE)</f>
        <v>#N/A</v>
      </c>
    </row>
    <row r="271" spans="1:21" ht="16.5" customHeight="1">
      <c r="A271" s="159" t="s">
        <v>261</v>
      </c>
      <c r="B271" s="114" t="str">
        <f>VLOOKUP(A271,'Data pick slip'!B:F,5,FALSE)</f>
        <v>KHJ-MC100-00</v>
      </c>
      <c r="F271" s="157" t="s">
        <v>270</v>
      </c>
      <c r="H271" s="138">
        <v>1912</v>
      </c>
      <c r="I271" s="140" t="e">
        <f>VLOOKUP(H271,Stock_list!A:R,18,FALSE)</f>
        <v>#N/A</v>
      </c>
      <c r="J271" s="139" t="e">
        <f>VLOOKUP(H271,Stock_list!A:S,17,FALSE)</f>
        <v>#N/A</v>
      </c>
      <c r="K271" s="51" t="e">
        <f>VLOOKUP(H271,Stock_list!A:T,16,FALSE)</f>
        <v>#N/A</v>
      </c>
      <c r="L271" s="4">
        <v>45096</v>
      </c>
      <c r="M271" s="140">
        <v>20</v>
      </c>
      <c r="P271" s="4" t="e">
        <f>VLOOKUP(H271,Stock_list!A:Y,25,FALSE)</f>
        <v>#N/A</v>
      </c>
      <c r="Q271" s="143"/>
      <c r="T271" s="144"/>
      <c r="U271" s="145" t="e">
        <f>VLOOKUP(H271,Stock_list!A:N,14,FALSE)</f>
        <v>#N/A</v>
      </c>
    </row>
    <row r="272" spans="1:21" ht="16.5" customHeight="1">
      <c r="A272" s="159" t="s">
        <v>264</v>
      </c>
      <c r="B272" s="114" t="str">
        <f>VLOOKUP(A272,'Data pick slip'!B:F,5,FALSE)</f>
        <v>KHJ-MC200-00</v>
      </c>
      <c r="F272" s="157" t="s">
        <v>270</v>
      </c>
      <c r="H272" s="138">
        <v>1912</v>
      </c>
      <c r="I272" s="140" t="e">
        <f>VLOOKUP(H272,Stock_list!A:R,18,FALSE)</f>
        <v>#N/A</v>
      </c>
      <c r="J272" s="139" t="e">
        <f>VLOOKUP(H272,Stock_list!A:S,17,FALSE)</f>
        <v>#N/A</v>
      </c>
      <c r="K272" s="51" t="e">
        <f>VLOOKUP(H272,Stock_list!A:T,16,FALSE)</f>
        <v>#N/A</v>
      </c>
      <c r="L272" s="4">
        <v>45096</v>
      </c>
      <c r="M272" s="140">
        <v>5</v>
      </c>
      <c r="P272" s="4" t="e">
        <f>VLOOKUP(H272,Stock_list!A:Y,25,FALSE)</f>
        <v>#N/A</v>
      </c>
      <c r="Q272" s="143"/>
      <c r="T272" s="144"/>
      <c r="U272" s="145" t="e">
        <f>VLOOKUP(H272,Stock_list!A:N,14,FALSE)</f>
        <v>#N/A</v>
      </c>
    </row>
    <row r="273" spans="1:21" ht="16.5" customHeight="1">
      <c r="A273" s="159" t="s">
        <v>261</v>
      </c>
      <c r="B273" s="114" t="str">
        <f>VLOOKUP(A273,'Data pick slip'!B:F,5,FALSE)</f>
        <v>KHJ-MC100-00</v>
      </c>
      <c r="F273" s="157" t="s">
        <v>270</v>
      </c>
      <c r="H273" s="138">
        <v>1914</v>
      </c>
      <c r="I273" s="140" t="e">
        <f>VLOOKUP(H273,Stock_list!A:R,18,FALSE)</f>
        <v>#N/A</v>
      </c>
      <c r="J273" s="139" t="e">
        <f>VLOOKUP(H273,Stock_list!A:S,17,FALSE)</f>
        <v>#N/A</v>
      </c>
      <c r="K273" s="51" t="e">
        <f>VLOOKUP(H273,Stock_list!A:T,16,FALSE)</f>
        <v>#N/A</v>
      </c>
      <c r="L273" s="4">
        <v>45058</v>
      </c>
      <c r="M273" s="140">
        <v>97</v>
      </c>
      <c r="P273" s="4" t="e">
        <f>VLOOKUP(H273,Stock_list!A:Y,25,FALSE)</f>
        <v>#N/A</v>
      </c>
      <c r="Q273" s="143"/>
      <c r="T273" s="144"/>
      <c r="U273" s="145" t="e">
        <f>VLOOKUP(H273,Stock_list!A:N,14,FALSE)</f>
        <v>#N/A</v>
      </c>
    </row>
    <row r="274" spans="1:21" ht="16.5" customHeight="1">
      <c r="A274" s="159" t="s">
        <v>264</v>
      </c>
      <c r="B274" s="114" t="str">
        <f>VLOOKUP(A274,'Data pick slip'!B:F,5,FALSE)</f>
        <v>KHJ-MC200-00</v>
      </c>
      <c r="F274" s="157" t="s">
        <v>270</v>
      </c>
      <c r="H274" s="138">
        <v>1914</v>
      </c>
      <c r="I274" s="140" t="e">
        <f>VLOOKUP(H274,Stock_list!A:R,18,FALSE)</f>
        <v>#N/A</v>
      </c>
      <c r="J274" s="139" t="e">
        <f>VLOOKUP(H274,Stock_list!A:S,17,FALSE)</f>
        <v>#N/A</v>
      </c>
      <c r="K274" s="51" t="e">
        <f>VLOOKUP(H274,Stock_list!A:T,16,FALSE)</f>
        <v>#N/A</v>
      </c>
      <c r="L274" s="4">
        <v>45058</v>
      </c>
      <c r="M274" s="140">
        <v>3</v>
      </c>
      <c r="P274" s="4" t="e">
        <f>VLOOKUP(H274,Stock_list!A:Y,25,FALSE)</f>
        <v>#N/A</v>
      </c>
      <c r="Q274" s="143"/>
      <c r="T274" s="144"/>
      <c r="U274" s="145" t="e">
        <f>VLOOKUP(H274,Stock_list!A:N,14,FALSE)</f>
        <v>#N/A</v>
      </c>
    </row>
    <row r="275" spans="1:21" ht="21.75" customHeight="1">
      <c r="A275" s="159" t="s">
        <v>261</v>
      </c>
      <c r="B275" s="114" t="str">
        <f>VLOOKUP(A275,'Data pick slip'!B:F,5,FALSE)</f>
        <v>KHJ-MC100-00</v>
      </c>
      <c r="F275" s="157" t="s">
        <v>270</v>
      </c>
      <c r="I275" s="140" t="s">
        <v>1417</v>
      </c>
      <c r="J275" s="381" t="s">
        <v>1440</v>
      </c>
      <c r="K275" s="51" t="s">
        <v>1416</v>
      </c>
      <c r="L275" s="4">
        <v>45077</v>
      </c>
      <c r="M275" s="132">
        <v>15</v>
      </c>
      <c r="P275" s="4" t="s">
        <v>1418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264</v>
      </c>
      <c r="B276" s="114" t="str">
        <f>VLOOKUP(A276,'Data pick slip'!B:F,5,FALSE)</f>
        <v>KHJ-MC200-00</v>
      </c>
      <c r="F276" s="157" t="s">
        <v>270</v>
      </c>
      <c r="I276" s="140" t="s">
        <v>1417</v>
      </c>
      <c r="J276" s="139" t="s">
        <v>1414</v>
      </c>
      <c r="K276" s="51" t="s">
        <v>1416</v>
      </c>
      <c r="L276" s="4">
        <v>45077</v>
      </c>
      <c r="M276" s="132">
        <v>5</v>
      </c>
      <c r="P276" s="4" t="s">
        <v>1418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267</v>
      </c>
      <c r="B277" s="114" t="str">
        <f>VLOOKUP(A277,'Data pick slip'!B:F,5,FALSE)</f>
        <v>KHJ-MC600-00</v>
      </c>
      <c r="F277" s="157" t="s">
        <v>270</v>
      </c>
      <c r="I277" s="140" t="s">
        <v>1417</v>
      </c>
      <c r="J277" s="139" t="s">
        <v>1414</v>
      </c>
      <c r="K277" s="51" t="s">
        <v>1416</v>
      </c>
      <c r="L277" s="4">
        <v>45077</v>
      </c>
      <c r="M277" s="132">
        <v>2</v>
      </c>
      <c r="P277" s="4" t="s">
        <v>1418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273</v>
      </c>
      <c r="B278" s="114" t="str">
        <f>VLOOKUP(A278,'Data pick slip'!B:F,5,FALSE)</f>
        <v>KLJ-MC200-00</v>
      </c>
      <c r="F278" s="157" t="s">
        <v>227</v>
      </c>
      <c r="I278" s="140" t="s">
        <v>1421</v>
      </c>
      <c r="J278" s="267" t="s">
        <v>1419</v>
      </c>
      <c r="K278" s="51" t="s">
        <v>1420</v>
      </c>
      <c r="L278" s="4">
        <v>45071</v>
      </c>
      <c r="M278" s="140">
        <v>1</v>
      </c>
      <c r="P278" s="4" t="s">
        <v>1418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266</v>
      </c>
      <c r="B279" s="114" t="str">
        <f>VLOOKUP(A279,'Data pick slip'!B:F,5,FALSE)</f>
        <v>KHJ-MC500-00</v>
      </c>
      <c r="F279" s="157" t="s">
        <v>270</v>
      </c>
      <c r="I279" s="140" t="s">
        <v>1415</v>
      </c>
      <c r="J279" s="267" t="s">
        <v>1422</v>
      </c>
      <c r="K279" s="51" t="s">
        <v>1416</v>
      </c>
      <c r="L279" s="4">
        <v>45050</v>
      </c>
      <c r="M279" s="140">
        <v>3</v>
      </c>
      <c r="P279" s="4" t="s">
        <v>1418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261</v>
      </c>
      <c r="B280" s="114" t="str">
        <f>VLOOKUP(A280,'Data pick slip'!B:F,5,FALSE)</f>
        <v>KHJ-MC100-00</v>
      </c>
      <c r="F280" s="157" t="s">
        <v>227</v>
      </c>
      <c r="H280" s="138">
        <v>1916</v>
      </c>
      <c r="I280" s="140" t="e">
        <f>VLOOKUP(H280,Stock_list!A:R,18,FALSE)</f>
        <v>#N/A</v>
      </c>
      <c r="J280" s="139" t="e">
        <f>VLOOKUP(H280,Stock_list!A:S,17,FALSE)</f>
        <v>#N/A</v>
      </c>
      <c r="K280" s="51" t="e">
        <f>VLOOKUP(H280,Stock_list!A:T,16,FALSE)</f>
        <v>#N/A</v>
      </c>
      <c r="L280" s="4">
        <v>45069</v>
      </c>
      <c r="M280" s="143">
        <v>65</v>
      </c>
      <c r="P280" s="4" t="e">
        <f>VLOOKUP(H280,Stock_list!A:Y,25,FALSE)</f>
        <v>#N/A</v>
      </c>
      <c r="T280" s="144"/>
      <c r="U280" s="145" t="e">
        <f>VLOOKUP(H280,Stock_list!A:N,14,FALSE)</f>
        <v>#N/A</v>
      </c>
    </row>
    <row r="281" spans="1:21" ht="16.5" customHeight="1">
      <c r="A281" s="159" t="s">
        <v>264</v>
      </c>
      <c r="B281" s="114" t="str">
        <f>VLOOKUP(A281,'Data pick slip'!B:F,5,FALSE)</f>
        <v>KHJ-MC200-00</v>
      </c>
      <c r="F281" s="157" t="s">
        <v>227</v>
      </c>
      <c r="H281" s="138">
        <v>1916</v>
      </c>
      <c r="I281" s="140" t="e">
        <f>VLOOKUP(H281,Stock_list!A:R,18,FALSE)</f>
        <v>#N/A</v>
      </c>
      <c r="J281" s="139" t="e">
        <f>VLOOKUP(H281,Stock_list!A:S,17,FALSE)</f>
        <v>#N/A</v>
      </c>
      <c r="K281" s="51" t="e">
        <f>VLOOKUP(H281,Stock_list!A:T,16,FALSE)</f>
        <v>#N/A</v>
      </c>
      <c r="L281" s="4">
        <v>45069</v>
      </c>
      <c r="M281" s="143">
        <v>14</v>
      </c>
      <c r="P281" s="4" t="e">
        <f>VLOOKUP(H281,Stock_list!A:Y,25,FALSE)</f>
        <v>#N/A</v>
      </c>
      <c r="T281" s="144"/>
      <c r="U281" s="145" t="e">
        <f>VLOOKUP(H281,Stock_list!A:N,14,FALSE)</f>
        <v>#N/A</v>
      </c>
    </row>
    <row r="282" spans="1:21" ht="24" customHeight="1">
      <c r="A282" s="159" t="s">
        <v>261</v>
      </c>
      <c r="B282" s="114" t="str">
        <f>VLOOKUP(A282,'Data pick slip'!B:F,5,FALSE)</f>
        <v>KHJ-MC100-00</v>
      </c>
      <c r="F282" s="157" t="s">
        <v>270</v>
      </c>
      <c r="I282" s="140" t="s">
        <v>1423</v>
      </c>
      <c r="J282" s="267" t="s">
        <v>1424</v>
      </c>
      <c r="K282" s="51" t="s">
        <v>1425</v>
      </c>
      <c r="L282" s="4">
        <v>45063</v>
      </c>
      <c r="M282" s="132">
        <v>82</v>
      </c>
      <c r="P282" s="4" t="s">
        <v>214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264</v>
      </c>
      <c r="B283" s="114" t="str">
        <f>VLOOKUP(A283,'Data pick slip'!B:F,5,FALSE)</f>
        <v>KHJ-MC200-00</v>
      </c>
      <c r="F283" s="157" t="s">
        <v>270</v>
      </c>
      <c r="I283" s="140" t="s">
        <v>1423</v>
      </c>
      <c r="J283" s="267" t="s">
        <v>1424</v>
      </c>
      <c r="K283" s="51" t="s">
        <v>1425</v>
      </c>
      <c r="L283" s="4">
        <v>45063</v>
      </c>
      <c r="M283" s="132">
        <v>10</v>
      </c>
      <c r="P283" s="4" t="s">
        <v>214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265</v>
      </c>
      <c r="B284" s="114" t="str">
        <f>VLOOKUP(A284,'Data pick slip'!B:F,5,FALSE)</f>
        <v>KHJ-MC400-00</v>
      </c>
      <c r="F284" s="157" t="s">
        <v>270</v>
      </c>
      <c r="I284" s="140" t="s">
        <v>1423</v>
      </c>
      <c r="J284" s="267" t="s">
        <v>1424</v>
      </c>
      <c r="K284" s="51" t="s">
        <v>1425</v>
      </c>
      <c r="L284" s="4">
        <v>45063</v>
      </c>
      <c r="M284" s="132">
        <v>5</v>
      </c>
      <c r="P284" s="4" t="s">
        <v>214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261</v>
      </c>
      <c r="B285" s="114" t="str">
        <f>VLOOKUP(A285,'Data pick slip'!B:F,5,FALSE)</f>
        <v>KHJ-MC100-00</v>
      </c>
      <c r="F285" s="157" t="s">
        <v>227</v>
      </c>
      <c r="I285" s="390" t="s">
        <v>1429</v>
      </c>
      <c r="J285" s="139" t="s">
        <v>1427</v>
      </c>
      <c r="K285" s="51" t="s">
        <v>520</v>
      </c>
      <c r="L285" s="4">
        <v>45057</v>
      </c>
      <c r="M285" s="140">
        <v>82</v>
      </c>
      <c r="P285" s="4" t="s">
        <v>1428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264</v>
      </c>
      <c r="B286" s="114" t="str">
        <f>VLOOKUP(A286,'Data pick slip'!B:F,5,FALSE)</f>
        <v>KHJ-MC200-00</v>
      </c>
      <c r="F286" s="157" t="s">
        <v>227</v>
      </c>
      <c r="I286" s="390" t="s">
        <v>1429</v>
      </c>
      <c r="J286" s="139" t="s">
        <v>1427</v>
      </c>
      <c r="K286" s="51" t="s">
        <v>520</v>
      </c>
      <c r="L286" s="4">
        <v>45057</v>
      </c>
      <c r="M286" s="140">
        <v>10</v>
      </c>
      <c r="P286" s="4" t="s">
        <v>1428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265</v>
      </c>
      <c r="B287" s="114" t="str">
        <f>VLOOKUP(A287,'Data pick slip'!B:F,5,FALSE)</f>
        <v>KHJ-MC400-00</v>
      </c>
      <c r="F287" s="157" t="s">
        <v>227</v>
      </c>
      <c r="I287" s="390" t="s">
        <v>1429</v>
      </c>
      <c r="J287" s="139" t="s">
        <v>1427</v>
      </c>
      <c r="K287" s="51" t="s">
        <v>520</v>
      </c>
      <c r="L287" s="4">
        <v>45057</v>
      </c>
      <c r="M287" s="140">
        <v>5</v>
      </c>
      <c r="P287" s="4" t="s">
        <v>1428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266</v>
      </c>
      <c r="B288" s="114" t="str">
        <f>VLOOKUP(A288,'Data pick slip'!B:F,5,FALSE)</f>
        <v>KHJ-MC500-00</v>
      </c>
      <c r="F288" s="157" t="s">
        <v>227</v>
      </c>
      <c r="I288" s="390" t="s">
        <v>1429</v>
      </c>
      <c r="J288" s="139" t="s">
        <v>1427</v>
      </c>
      <c r="K288" s="51" t="s">
        <v>520</v>
      </c>
      <c r="L288" s="4">
        <v>45057</v>
      </c>
      <c r="M288" s="140">
        <v>3</v>
      </c>
      <c r="P288" s="4" t="s">
        <v>1428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261</v>
      </c>
      <c r="B289" s="114" t="str">
        <f>VLOOKUP(A289,'Data pick slip'!B:F,5,FALSE)</f>
        <v>KHJ-MC100-00</v>
      </c>
      <c r="F289" s="157" t="s">
        <v>227</v>
      </c>
      <c r="I289" s="390" t="s">
        <v>1430</v>
      </c>
      <c r="J289" s="139" t="s">
        <v>1431</v>
      </c>
      <c r="K289" s="51" t="s">
        <v>1432</v>
      </c>
      <c r="L289" s="4">
        <v>45057</v>
      </c>
      <c r="M289" s="140">
        <v>200</v>
      </c>
      <c r="P289" s="4" t="s">
        <v>1433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272</v>
      </c>
      <c r="B290" s="114" t="str">
        <f>VLOOKUP(A290,'Data pick slip'!B:F,5,FALSE)</f>
        <v>KLJ-MC100-00</v>
      </c>
      <c r="F290" s="157" t="s">
        <v>227</v>
      </c>
      <c r="I290" s="390" t="s">
        <v>1430</v>
      </c>
      <c r="J290" s="139" t="s">
        <v>1431</v>
      </c>
      <c r="K290" s="51" t="s">
        <v>1432</v>
      </c>
      <c r="L290" s="4">
        <v>45057</v>
      </c>
      <c r="M290" s="140">
        <v>200</v>
      </c>
      <c r="P290" s="4" t="s">
        <v>1433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264</v>
      </c>
      <c r="B291" s="114" t="str">
        <f>VLOOKUP(A291,'Data pick slip'!B:F,5,FALSE)</f>
        <v>KHJ-MC200-00</v>
      </c>
      <c r="F291" s="157" t="s">
        <v>227</v>
      </c>
      <c r="I291" s="390" t="s">
        <v>1430</v>
      </c>
      <c r="J291" s="139" t="s">
        <v>1431</v>
      </c>
      <c r="K291" s="51" t="s">
        <v>1432</v>
      </c>
      <c r="L291" s="4">
        <v>45057</v>
      </c>
      <c r="M291" s="140">
        <v>50</v>
      </c>
      <c r="P291" s="4" t="s">
        <v>1433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271</v>
      </c>
      <c r="B292" s="114" t="str">
        <f>VLOOKUP(A292,'Data pick slip'!B:F,5,FALSE)</f>
        <v>KLJ-MCN00-20</v>
      </c>
      <c r="F292" s="157" t="s">
        <v>227</v>
      </c>
      <c r="I292" s="390" t="s">
        <v>1430</v>
      </c>
      <c r="J292" s="139" t="s">
        <v>1434</v>
      </c>
      <c r="K292" s="51" t="s">
        <v>1432</v>
      </c>
      <c r="L292" s="4">
        <v>45061</v>
      </c>
      <c r="M292" s="140">
        <v>1</v>
      </c>
      <c r="P292" s="4" t="s">
        <v>1433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261</v>
      </c>
      <c r="B293" s="114" t="str">
        <f>VLOOKUP(A293,'Data pick slip'!B:F,5,FALSE)</f>
        <v>KHJ-MC100-00</v>
      </c>
      <c r="F293" s="157" t="s">
        <v>227</v>
      </c>
      <c r="I293" s="390" t="s">
        <v>1430</v>
      </c>
      <c r="J293" s="139" t="s">
        <v>1434</v>
      </c>
      <c r="K293" s="51" t="s">
        <v>1432</v>
      </c>
      <c r="L293" s="4">
        <v>45061</v>
      </c>
      <c r="M293" s="140">
        <v>370</v>
      </c>
      <c r="P293" s="4" t="s">
        <v>1433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272</v>
      </c>
      <c r="B294" s="114" t="str">
        <f>VLOOKUP(A294,'Data pick slip'!B:F,5,FALSE)</f>
        <v>KLJ-MC100-00</v>
      </c>
      <c r="F294" s="157" t="s">
        <v>227</v>
      </c>
      <c r="I294" s="390" t="s">
        <v>1430</v>
      </c>
      <c r="J294" s="139" t="s">
        <v>1434</v>
      </c>
      <c r="K294" s="51" t="s">
        <v>1432</v>
      </c>
      <c r="L294" s="4">
        <v>45061</v>
      </c>
      <c r="M294" s="140">
        <v>60</v>
      </c>
      <c r="P294" s="4" t="s">
        <v>1433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264</v>
      </c>
      <c r="B295" s="114" t="str">
        <f>VLOOKUP(A295,'Data pick slip'!B:F,5,FALSE)</f>
        <v>KHJ-MC200-00</v>
      </c>
      <c r="F295" s="157" t="s">
        <v>227</v>
      </c>
      <c r="I295" s="390" t="s">
        <v>1430</v>
      </c>
      <c r="J295" s="139" t="s">
        <v>1434</v>
      </c>
      <c r="K295" s="51" t="s">
        <v>1432</v>
      </c>
      <c r="L295" s="4">
        <v>45061</v>
      </c>
      <c r="M295" s="140">
        <v>119</v>
      </c>
      <c r="P295" s="4" t="s">
        <v>1433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261</v>
      </c>
      <c r="B296" s="114" t="str">
        <f>VLOOKUP(A296,'Data pick slip'!B:F,5,FALSE)</f>
        <v>KHJ-MC100-00</v>
      </c>
      <c r="F296" s="157" t="s">
        <v>270</v>
      </c>
      <c r="H296" s="138">
        <v>1918</v>
      </c>
      <c r="I296" s="140" t="e">
        <f>VLOOKUP(H296,Stock_list!A:R,18,FALSE)</f>
        <v>#N/A</v>
      </c>
      <c r="J296" s="139" t="e">
        <f>VLOOKUP(H296,Stock_list!A:S,17,FALSE)</f>
        <v>#N/A</v>
      </c>
      <c r="K296" s="51" t="e">
        <f>VLOOKUP(H296,Stock_list!A:T,16,FALSE)</f>
        <v>#N/A</v>
      </c>
      <c r="L296" s="4">
        <v>45085</v>
      </c>
      <c r="M296" s="140">
        <v>20</v>
      </c>
      <c r="N296" s="143"/>
      <c r="P296" s="4" t="e">
        <f>VLOOKUP(H296,Stock_list!A:Y,25,FALSE)</f>
        <v>#N/A</v>
      </c>
      <c r="Q296" s="143"/>
      <c r="T296" s="144"/>
      <c r="U296" s="145" t="e">
        <f>VLOOKUP(H296,Stock_list!A:N,14,FALSE)</f>
        <v>#N/A</v>
      </c>
    </row>
    <row r="297" spans="1:21" ht="21" customHeight="1">
      <c r="A297" s="159" t="s">
        <v>261</v>
      </c>
      <c r="B297" s="114" t="str">
        <f>VLOOKUP(A297,'Data pick slip'!B:F,5,FALSE)</f>
        <v>KHJ-MC100-00</v>
      </c>
      <c r="F297" s="157" t="s">
        <v>270</v>
      </c>
      <c r="H297" s="138">
        <v>1919</v>
      </c>
      <c r="I297" s="140" t="e">
        <f>VLOOKUP(H297,Stock_list!A:R,18,FALSE)</f>
        <v>#N/A</v>
      </c>
      <c r="J297" s="139" t="e">
        <f>VLOOKUP(H297,Stock_list!A:S,17,FALSE)</f>
        <v>#N/A</v>
      </c>
      <c r="K297" s="51" t="e">
        <f>VLOOKUP(H297,Stock_list!A:T,16,FALSE)</f>
        <v>#N/A</v>
      </c>
      <c r="L297" s="4">
        <v>45082</v>
      </c>
      <c r="M297" s="140">
        <v>3</v>
      </c>
      <c r="N297" s="143"/>
      <c r="P297" s="4" t="e">
        <f>VLOOKUP(H297,Stock_list!A:Y,25,FALSE)</f>
        <v>#N/A</v>
      </c>
      <c r="Q297" s="143"/>
      <c r="T297" s="144"/>
      <c r="U297" s="145" t="e">
        <f>VLOOKUP(H297,Stock_list!A:N,14,FALSE)</f>
        <v>#N/A</v>
      </c>
    </row>
    <row r="298" spans="1:21" ht="16.5" customHeight="1">
      <c r="A298" s="159" t="s">
        <v>272</v>
      </c>
      <c r="B298" s="114" t="str">
        <f>VLOOKUP(A298,'Data pick slip'!B:F,5,FALSE)</f>
        <v>KLJ-MC100-00</v>
      </c>
      <c r="F298" s="157" t="s">
        <v>270</v>
      </c>
      <c r="I298" s="140" t="s">
        <v>1438</v>
      </c>
      <c r="J298" s="269" t="s">
        <v>1456</v>
      </c>
      <c r="K298" s="51" t="s">
        <v>1439</v>
      </c>
      <c r="L298" s="4">
        <v>45097</v>
      </c>
      <c r="M298" s="140">
        <v>1</v>
      </c>
      <c r="P298" s="4" t="s">
        <v>1441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261</v>
      </c>
      <c r="B299" s="114" t="str">
        <f>VLOOKUP(A299,'Data pick slip'!B:F,5,FALSE)</f>
        <v>KHJ-MC100-00</v>
      </c>
      <c r="F299" s="157" t="s">
        <v>270</v>
      </c>
      <c r="I299" s="140" t="s">
        <v>1442</v>
      </c>
      <c r="J299" s="267" t="s">
        <v>1443</v>
      </c>
      <c r="K299" s="51" t="s">
        <v>1439</v>
      </c>
      <c r="L299" s="4">
        <v>45077</v>
      </c>
      <c r="M299" s="140">
        <v>3</v>
      </c>
      <c r="P299" s="4" t="s">
        <v>1441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264</v>
      </c>
      <c r="B300" s="114" t="str">
        <f>VLOOKUP(A300,'Data pick slip'!B:F,5,FALSE)</f>
        <v>KHJ-MC200-00</v>
      </c>
      <c r="F300" s="157" t="s">
        <v>270</v>
      </c>
      <c r="I300" s="140" t="s">
        <v>1442</v>
      </c>
      <c r="J300" s="267" t="s">
        <v>1443</v>
      </c>
      <c r="K300" s="51" t="s">
        <v>1439</v>
      </c>
      <c r="L300" s="4">
        <v>45077</v>
      </c>
      <c r="M300" s="140">
        <v>2</v>
      </c>
      <c r="P300" s="4" t="s">
        <v>1441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265</v>
      </c>
      <c r="B301" s="114" t="str">
        <f>VLOOKUP(A301,'Data pick slip'!B:F,5,FALSE)</f>
        <v>KHJ-MC400-00</v>
      </c>
      <c r="F301" s="157" t="s">
        <v>270</v>
      </c>
      <c r="I301" s="140" t="s">
        <v>1442</v>
      </c>
      <c r="J301" s="267" t="s">
        <v>1443</v>
      </c>
      <c r="K301" s="51" t="s">
        <v>1439</v>
      </c>
      <c r="L301" s="4">
        <v>45077</v>
      </c>
      <c r="M301" s="140">
        <v>1</v>
      </c>
      <c r="P301" s="4" t="s">
        <v>1441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265</v>
      </c>
      <c r="B302" s="114" t="str">
        <f>VLOOKUP(A302,'Data pick slip'!B:F,5,FALSE)</f>
        <v>KHJ-MC400-00</v>
      </c>
      <c r="F302" s="157" t="s">
        <v>270</v>
      </c>
      <c r="I302" s="140" t="s">
        <v>1444</v>
      </c>
      <c r="J302" s="267" t="s">
        <v>1446</v>
      </c>
      <c r="K302" s="51" t="s">
        <v>1445</v>
      </c>
      <c r="L302" s="4">
        <v>45078</v>
      </c>
      <c r="M302" s="140">
        <v>1</v>
      </c>
      <c r="P302" s="4" t="s">
        <v>214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265</v>
      </c>
      <c r="B303" s="114" t="str">
        <f>VLOOKUP(A303,'Data pick slip'!B:F,5,FALSE)</f>
        <v>KHJ-MC400-00</v>
      </c>
      <c r="F303" s="157" t="s">
        <v>270</v>
      </c>
      <c r="I303" s="140" t="s">
        <v>611</v>
      </c>
      <c r="J303" s="267" t="s">
        <v>1469</v>
      </c>
      <c r="K303" s="51" t="s">
        <v>225</v>
      </c>
      <c r="L303" s="4">
        <v>45039</v>
      </c>
      <c r="M303" s="140">
        <v>2</v>
      </c>
      <c r="P303" s="4" t="s">
        <v>214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261</v>
      </c>
      <c r="B304" s="114" t="str">
        <f>VLOOKUP(A304,'Data pick slip'!B:F,5,FALSE)</f>
        <v>KHJ-MC100-00</v>
      </c>
      <c r="F304" s="157" t="s">
        <v>270</v>
      </c>
      <c r="H304" s="138">
        <v>1921</v>
      </c>
      <c r="I304" s="140" t="e">
        <f>VLOOKUP(H304,Stock_list!A:R,18,FALSE)</f>
        <v>#N/A</v>
      </c>
      <c r="J304" s="139" t="e">
        <f>VLOOKUP(H304,Stock_list!A:S,17,FALSE)</f>
        <v>#N/A</v>
      </c>
      <c r="K304" s="51" t="e">
        <f>VLOOKUP(H304,Stock_list!A:T,16,FALSE)</f>
        <v>#N/A</v>
      </c>
      <c r="L304" s="291">
        <v>45153</v>
      </c>
      <c r="M304" s="140">
        <v>20</v>
      </c>
      <c r="P304" s="4" t="e">
        <f>VLOOKUP(H304,Stock_list!A:Y,25,FALSE)</f>
        <v>#N/A</v>
      </c>
      <c r="Q304" s="143"/>
      <c r="T304" s="144"/>
      <c r="U304" s="145" t="e">
        <f>VLOOKUP(H304,Stock_list!A:N,14,FALSE)</f>
        <v>#N/A</v>
      </c>
    </row>
    <row r="305" spans="1:21" ht="16.5" customHeight="1">
      <c r="A305" s="159" t="s">
        <v>264</v>
      </c>
      <c r="B305" s="114" t="str">
        <f>VLOOKUP(A305,'Data pick slip'!B:F,5,FALSE)</f>
        <v>KHJ-MC200-00</v>
      </c>
      <c r="F305" s="157" t="s">
        <v>270</v>
      </c>
      <c r="H305" s="138">
        <v>1921</v>
      </c>
      <c r="I305" s="140" t="e">
        <f>VLOOKUP(H305,Stock_list!A:R,18,FALSE)</f>
        <v>#N/A</v>
      </c>
      <c r="J305" s="139" t="e">
        <f>VLOOKUP(H305,Stock_list!A:S,17,FALSE)</f>
        <v>#N/A</v>
      </c>
      <c r="K305" s="51" t="e">
        <f>VLOOKUP(H305,Stock_list!A:T,16,FALSE)</f>
        <v>#N/A</v>
      </c>
      <c r="L305" s="291">
        <v>45153</v>
      </c>
      <c r="M305" s="140">
        <v>3</v>
      </c>
      <c r="P305" s="4" t="e">
        <f>VLOOKUP(H305,Stock_list!A:Y,25,FALSE)</f>
        <v>#N/A</v>
      </c>
      <c r="Q305" s="143"/>
      <c r="T305" s="144"/>
      <c r="U305" s="145" t="e">
        <f>VLOOKUP(H305,Stock_list!A:N,14,FALSE)</f>
        <v>#N/A</v>
      </c>
    </row>
    <row r="306" spans="1:21" ht="20.25" customHeight="1">
      <c r="A306" s="159" t="s">
        <v>266</v>
      </c>
      <c r="B306" s="114" t="str">
        <f>VLOOKUP(A306,'Data pick slip'!B:F,5,FALSE)</f>
        <v>KHJ-MC500-00</v>
      </c>
      <c r="F306" s="157" t="s">
        <v>270</v>
      </c>
      <c r="I306" s="140" t="s">
        <v>1449</v>
      </c>
      <c r="J306" s="267" t="s">
        <v>1450</v>
      </c>
      <c r="K306" s="51" t="s">
        <v>1451</v>
      </c>
      <c r="L306" s="4">
        <v>45086</v>
      </c>
      <c r="M306" s="140">
        <v>3</v>
      </c>
      <c r="P306" s="4" t="s">
        <v>1452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261</v>
      </c>
      <c r="B307" s="114" t="str">
        <f>VLOOKUP(A307,'Data pick slip'!B:F,5,FALSE)</f>
        <v>KHJ-MC100-00</v>
      </c>
      <c r="F307" s="157" t="s">
        <v>227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264</v>
      </c>
      <c r="B308" s="114" t="str">
        <f>VLOOKUP(A308,'Data pick slip'!B:F,5,FALSE)</f>
        <v>KHJ-MC200-00</v>
      </c>
      <c r="F308" s="157" t="s">
        <v>227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265</v>
      </c>
      <c r="B309" s="114" t="str">
        <f>VLOOKUP(A309,'Data pick slip'!B:F,5,FALSE)</f>
        <v>KHJ-MC400-00</v>
      </c>
      <c r="F309" s="157" t="s">
        <v>227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271</v>
      </c>
      <c r="B310" s="114" t="str">
        <f>VLOOKUP(A310,'Data pick slip'!B:F,5,FALSE)</f>
        <v>KLJ-MCN00-20</v>
      </c>
      <c r="F310" s="157" t="s">
        <v>227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261</v>
      </c>
      <c r="B311" s="114" t="str">
        <f>VLOOKUP(A311,'Data pick slip'!B:F,5,FALSE)</f>
        <v>KHJ-MC100-00</v>
      </c>
      <c r="F311" s="157" t="s">
        <v>270</v>
      </c>
      <c r="I311" s="140" t="s">
        <v>611</v>
      </c>
      <c r="J311" s="270" t="s">
        <v>1453</v>
      </c>
      <c r="K311" s="51" t="s">
        <v>1455</v>
      </c>
      <c r="L311" s="4">
        <v>45107</v>
      </c>
      <c r="M311" s="132">
        <v>105</v>
      </c>
      <c r="P311" s="4" t="s">
        <v>1454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264</v>
      </c>
      <c r="B312" s="114" t="str">
        <f>VLOOKUP(A312,'Data pick slip'!B:F,5,FALSE)</f>
        <v>KHJ-MC200-00</v>
      </c>
      <c r="F312" s="157" t="s">
        <v>270</v>
      </c>
      <c r="I312" s="140" t="s">
        <v>611</v>
      </c>
      <c r="J312" s="270" t="s">
        <v>1453</v>
      </c>
      <c r="K312" s="51" t="s">
        <v>1455</v>
      </c>
      <c r="L312" s="4">
        <v>45107</v>
      </c>
      <c r="M312" s="132">
        <v>12</v>
      </c>
      <c r="P312" s="4" t="s">
        <v>1454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265</v>
      </c>
      <c r="B313" s="114" t="str">
        <f>VLOOKUP(A313,'Data pick slip'!B:F,5,FALSE)</f>
        <v>KHJ-MC400-00</v>
      </c>
      <c r="F313" s="157" t="s">
        <v>270</v>
      </c>
      <c r="I313" s="140" t="s">
        <v>611</v>
      </c>
      <c r="J313" s="270" t="s">
        <v>1453</v>
      </c>
      <c r="K313" s="51" t="s">
        <v>1455</v>
      </c>
      <c r="L313" s="4">
        <v>45107</v>
      </c>
      <c r="M313" s="132">
        <v>5</v>
      </c>
      <c r="P313" s="4" t="s">
        <v>1454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264</v>
      </c>
      <c r="B314" s="114" t="str">
        <f>VLOOKUP(A314,'Data pick slip'!B:F,5,FALSE)</f>
        <v>KHJ-MC200-00</v>
      </c>
      <c r="F314" s="157" t="s">
        <v>227</v>
      </c>
      <c r="I314" s="140" t="s">
        <v>1457</v>
      </c>
      <c r="J314" s="267" t="s">
        <v>1458</v>
      </c>
      <c r="K314" s="51" t="s">
        <v>1459</v>
      </c>
      <c r="L314" s="4">
        <v>45097</v>
      </c>
      <c r="M314" s="140">
        <v>2</v>
      </c>
      <c r="P314" s="4" t="s">
        <v>214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261</v>
      </c>
      <c r="B315" s="114" t="str">
        <f>VLOOKUP(A315,'Data pick slip'!B:F,5,FALSE)</f>
        <v>KHJ-MC100-00</v>
      </c>
      <c r="F315" s="157" t="s">
        <v>227</v>
      </c>
      <c r="H315" s="138">
        <v>1928</v>
      </c>
      <c r="I315" s="140" t="e">
        <f>VLOOKUP(H315,Stock_list!A:R,18,FALSE)</f>
        <v>#N/A</v>
      </c>
      <c r="J315" s="139" t="e">
        <f>VLOOKUP(H315,Stock_list!A:S,17,FALSE)</f>
        <v>#N/A</v>
      </c>
      <c r="K315" s="51" t="e">
        <f>VLOOKUP(H315,Stock_list!A:T,16,FALSE)</f>
        <v>#N/A</v>
      </c>
      <c r="L315" s="4">
        <v>45152</v>
      </c>
      <c r="M315" s="143">
        <v>100</v>
      </c>
      <c r="P315" s="4" t="e">
        <f>VLOOKUP(H315,Stock_list!A:Y,25,FALSE)</f>
        <v>#N/A</v>
      </c>
      <c r="T315" s="144"/>
      <c r="U315" s="145" t="e">
        <f>VLOOKUP(H315,Stock_list!A:N,14,FALSE)</f>
        <v>#N/A</v>
      </c>
    </row>
    <row r="316" spans="1:21" ht="16.5" customHeight="1">
      <c r="A316" s="159" t="s">
        <v>264</v>
      </c>
      <c r="B316" s="114" t="str">
        <f>VLOOKUP(A316,'Data pick slip'!B:F,5,FALSE)</f>
        <v>KHJ-MC200-00</v>
      </c>
      <c r="F316" s="157" t="s">
        <v>227</v>
      </c>
      <c r="H316" s="138">
        <v>1928</v>
      </c>
      <c r="I316" s="140" t="e">
        <f>VLOOKUP(H316,Stock_list!A:R,18,FALSE)</f>
        <v>#N/A</v>
      </c>
      <c r="J316" s="139" t="e">
        <f>VLOOKUP(H316,Stock_list!A:S,17,FALSE)</f>
        <v>#N/A</v>
      </c>
      <c r="K316" s="51" t="e">
        <f>VLOOKUP(H316,Stock_list!A:T,16,FALSE)</f>
        <v>#N/A</v>
      </c>
      <c r="L316" s="4">
        <v>45152</v>
      </c>
      <c r="M316" s="143">
        <v>10</v>
      </c>
      <c r="P316" s="4" t="e">
        <f>VLOOKUP(H316,Stock_list!A:Y,25,FALSE)</f>
        <v>#N/A</v>
      </c>
      <c r="T316" s="144"/>
      <c r="U316" s="145" t="e">
        <f>VLOOKUP(H316,Stock_list!A:N,14,FALSE)</f>
        <v>#N/A</v>
      </c>
    </row>
    <row r="317" spans="1:21" ht="16.5" customHeight="1">
      <c r="A317" s="159" t="s">
        <v>266</v>
      </c>
      <c r="B317" s="114" t="str">
        <f>VLOOKUP(A317,'Data pick slip'!B:F,5,FALSE)</f>
        <v>KHJ-MC500-00</v>
      </c>
      <c r="F317" s="157" t="s">
        <v>227</v>
      </c>
      <c r="H317" s="138">
        <v>1928</v>
      </c>
      <c r="I317" s="140" t="e">
        <f>VLOOKUP(H317,Stock_list!A:R,18,FALSE)</f>
        <v>#N/A</v>
      </c>
      <c r="J317" s="139" t="e">
        <f>VLOOKUP(H317,Stock_list!A:S,17,FALSE)</f>
        <v>#N/A</v>
      </c>
      <c r="K317" s="51" t="e">
        <f>VLOOKUP(H317,Stock_list!A:T,16,FALSE)</f>
        <v>#N/A</v>
      </c>
      <c r="L317" s="4">
        <v>45152</v>
      </c>
      <c r="M317" s="143">
        <v>1</v>
      </c>
      <c r="P317" s="4" t="e">
        <f>VLOOKUP(H317,Stock_list!A:Y,25,FALSE)</f>
        <v>#N/A</v>
      </c>
      <c r="T317" s="144"/>
      <c r="U317" s="145" t="e">
        <f>VLOOKUP(H317,Stock_list!A:N,14,FALSE)</f>
        <v>#N/A</v>
      </c>
    </row>
    <row r="318" spans="1:21" ht="16.5" customHeight="1">
      <c r="A318" s="159" t="s">
        <v>267</v>
      </c>
      <c r="B318" s="114" t="str">
        <f>VLOOKUP(A318,'Data pick slip'!B:F,5,FALSE)</f>
        <v>KHJ-MC600-00</v>
      </c>
      <c r="F318" s="157" t="s">
        <v>227</v>
      </c>
      <c r="H318" s="138">
        <v>1928</v>
      </c>
      <c r="I318" s="140" t="e">
        <f>VLOOKUP(H318,Stock_list!A:R,18,FALSE)</f>
        <v>#N/A</v>
      </c>
      <c r="J318" s="139" t="e">
        <f>VLOOKUP(H318,Stock_list!A:S,17,FALSE)</f>
        <v>#N/A</v>
      </c>
      <c r="K318" s="51" t="e">
        <f>VLOOKUP(H318,Stock_list!A:T,16,FALSE)</f>
        <v>#N/A</v>
      </c>
      <c r="L318" s="4">
        <v>45152</v>
      </c>
      <c r="M318" s="143">
        <v>2</v>
      </c>
      <c r="P318" s="4" t="e">
        <f>VLOOKUP(H318,Stock_list!A:Y,25,FALSE)</f>
        <v>#N/A</v>
      </c>
      <c r="T318" s="144"/>
      <c r="U318" s="145" t="e">
        <f>VLOOKUP(H318,Stock_list!A:N,14,FALSE)</f>
        <v>#N/A</v>
      </c>
    </row>
    <row r="319" spans="1:21" ht="21" customHeight="1">
      <c r="A319" s="159" t="s">
        <v>261</v>
      </c>
      <c r="B319" s="114" t="str">
        <f>VLOOKUP(A319,'Data pick slip'!B:F,5,FALSE)</f>
        <v>KHJ-MC100-00</v>
      </c>
      <c r="F319" s="157" t="s">
        <v>227</v>
      </c>
      <c r="I319" s="140" t="s">
        <v>1463</v>
      </c>
      <c r="J319" s="270" t="s">
        <v>1460</v>
      </c>
      <c r="K319" s="51" t="s">
        <v>1461</v>
      </c>
      <c r="L319" s="4">
        <v>45127</v>
      </c>
      <c r="M319" s="132">
        <v>500</v>
      </c>
      <c r="P319" s="4" t="s">
        <v>1462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261</v>
      </c>
      <c r="B320" s="114" t="str">
        <f>VLOOKUP(A320,'Data pick slip'!B:F,5,FALSE)</f>
        <v>KHJ-MC100-00</v>
      </c>
      <c r="F320" s="157" t="s">
        <v>270</v>
      </c>
      <c r="I320" s="140" t="s">
        <v>611</v>
      </c>
      <c r="J320" s="139" t="s">
        <v>1465</v>
      </c>
      <c r="K320" s="51" t="s">
        <v>225</v>
      </c>
      <c r="L320" s="4">
        <v>45103</v>
      </c>
      <c r="M320" s="140">
        <v>1</v>
      </c>
      <c r="P320" s="4" t="s">
        <v>1466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261</v>
      </c>
      <c r="B321" s="114" t="str">
        <f>VLOOKUP(A321,'Data pick slip'!B:F,5,FALSE)</f>
        <v>KHJ-MC100-00</v>
      </c>
      <c r="F321" s="157" t="s">
        <v>227</v>
      </c>
      <c r="I321" s="390" t="s">
        <v>1429</v>
      </c>
      <c r="J321" s="139" t="s">
        <v>1467</v>
      </c>
      <c r="K321" s="51" t="s">
        <v>225</v>
      </c>
      <c r="L321" s="4">
        <v>45103</v>
      </c>
      <c r="M321" s="140">
        <v>109</v>
      </c>
      <c r="P321" s="4" t="s">
        <v>1466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264</v>
      </c>
      <c r="B322" s="114" t="str">
        <f>VLOOKUP(A322,'Data pick slip'!B:F,5,FALSE)</f>
        <v>KHJ-MC200-00</v>
      </c>
      <c r="F322" s="157" t="s">
        <v>227</v>
      </c>
      <c r="I322" s="390" t="s">
        <v>1429</v>
      </c>
      <c r="J322" s="139" t="s">
        <v>1467</v>
      </c>
      <c r="K322" s="51" t="s">
        <v>225</v>
      </c>
      <c r="L322" s="4">
        <v>45103</v>
      </c>
      <c r="M322" s="140">
        <v>14</v>
      </c>
      <c r="P322" s="4" t="s">
        <v>1466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265</v>
      </c>
      <c r="B323" s="114" t="str">
        <f>VLOOKUP(A323,'Data pick slip'!B:F,5,FALSE)</f>
        <v>KHJ-MC400-00</v>
      </c>
      <c r="F323" s="157" t="s">
        <v>227</v>
      </c>
      <c r="I323" s="390" t="s">
        <v>1429</v>
      </c>
      <c r="J323" s="139" t="s">
        <v>1467</v>
      </c>
      <c r="K323" s="51" t="s">
        <v>225</v>
      </c>
      <c r="L323" s="4">
        <v>45103</v>
      </c>
      <c r="M323" s="140">
        <v>7</v>
      </c>
      <c r="P323" s="4" t="s">
        <v>1466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266</v>
      </c>
      <c r="B324" s="114" t="str">
        <f>VLOOKUP(A324,'Data pick slip'!B:F,5,FALSE)</f>
        <v>KHJ-MC500-00</v>
      </c>
      <c r="F324" s="157" t="s">
        <v>227</v>
      </c>
      <c r="I324" s="390" t="s">
        <v>1429</v>
      </c>
      <c r="J324" s="139" t="s">
        <v>1467</v>
      </c>
      <c r="K324" s="51" t="s">
        <v>225</v>
      </c>
      <c r="L324" s="4">
        <v>45103</v>
      </c>
      <c r="M324" s="140">
        <v>3</v>
      </c>
      <c r="P324" s="4" t="s">
        <v>1466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272</v>
      </c>
      <c r="B325" s="114" t="str">
        <f>VLOOKUP(A325,'Data pick slip'!B:F,5,FALSE)</f>
        <v>KLJ-MC100-00</v>
      </c>
      <c r="F325" s="157" t="s">
        <v>227</v>
      </c>
      <c r="I325" s="390" t="s">
        <v>1429</v>
      </c>
      <c r="J325" s="139" t="s">
        <v>1467</v>
      </c>
      <c r="K325" s="51" t="s">
        <v>225</v>
      </c>
      <c r="L325" s="4">
        <v>45103</v>
      </c>
      <c r="M325" s="140">
        <v>1</v>
      </c>
      <c r="P325" s="4" t="s">
        <v>1466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261</v>
      </c>
      <c r="B326" s="114" t="str">
        <f>VLOOKUP(A326,'Data pick slip'!B:F,5,FALSE)</f>
        <v>KHJ-MC100-00</v>
      </c>
      <c r="F326" s="157" t="s">
        <v>270</v>
      </c>
      <c r="H326" s="138" t="s">
        <v>1508</v>
      </c>
      <c r="I326" s="140">
        <v>66</v>
      </c>
      <c r="J326" s="267" t="s">
        <v>1481</v>
      </c>
      <c r="K326" s="51" t="s">
        <v>225</v>
      </c>
      <c r="L326" s="4">
        <v>45113</v>
      </c>
      <c r="M326" s="140">
        <v>5</v>
      </c>
      <c r="P326" s="4" t="s">
        <v>1518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261</v>
      </c>
      <c r="B327" s="114" t="str">
        <f>VLOOKUP(A327,'Data pick slip'!B:F,5,FALSE)</f>
        <v>KHJ-MC100-00</v>
      </c>
      <c r="F327" s="157" t="s">
        <v>270</v>
      </c>
      <c r="H327" s="138">
        <v>1933</v>
      </c>
      <c r="I327" s="140" t="e">
        <f>VLOOKUP(H327,Stock_list!A:R,18,FALSE)</f>
        <v>#N/A</v>
      </c>
      <c r="J327" s="139" t="e">
        <f>VLOOKUP(H327,Stock_list!A:S,17,FALSE)</f>
        <v>#N/A</v>
      </c>
      <c r="K327" s="51" t="e">
        <f>VLOOKUP(H327,Stock_list!A:T,16,FALSE)</f>
        <v>#N/A</v>
      </c>
      <c r="L327" s="4">
        <v>45152</v>
      </c>
      <c r="M327" s="140">
        <v>30</v>
      </c>
      <c r="P327" s="4" t="e">
        <f>VLOOKUP(H327,Stock_list!A:Y,25,FALSE)</f>
        <v>#N/A</v>
      </c>
      <c r="Q327" s="143"/>
      <c r="T327" s="144"/>
      <c r="U327" s="145" t="e">
        <f>VLOOKUP(H327,Stock_list!A:N,14,FALSE)</f>
        <v>#N/A</v>
      </c>
    </row>
    <row r="328" spans="1:21" ht="16.5" customHeight="1">
      <c r="A328" s="159" t="s">
        <v>264</v>
      </c>
      <c r="B328" s="114" t="str">
        <f>VLOOKUP(A328,'Data pick slip'!B:F,5,FALSE)</f>
        <v>KHJ-MC200-00</v>
      </c>
      <c r="F328" s="157" t="s">
        <v>270</v>
      </c>
      <c r="H328" s="138">
        <v>1933</v>
      </c>
      <c r="I328" s="140" t="e">
        <f>VLOOKUP(H328,Stock_list!A:R,18,FALSE)</f>
        <v>#N/A</v>
      </c>
      <c r="J328" s="139" t="e">
        <f>VLOOKUP(H328,Stock_list!A:S,17,FALSE)</f>
        <v>#N/A</v>
      </c>
      <c r="K328" s="51" t="e">
        <f>VLOOKUP(H328,Stock_list!A:T,16,FALSE)</f>
        <v>#N/A</v>
      </c>
      <c r="L328" s="4">
        <v>45152</v>
      </c>
      <c r="M328" s="140">
        <v>3</v>
      </c>
      <c r="P328" s="4" t="e">
        <f>VLOOKUP(H328,Stock_list!A:Y,25,FALSE)</f>
        <v>#N/A</v>
      </c>
      <c r="Q328" s="143"/>
      <c r="T328" s="144"/>
      <c r="U328" s="145" t="e">
        <f>VLOOKUP(H328,Stock_list!A:N,14,FALSE)</f>
        <v>#N/A</v>
      </c>
    </row>
    <row r="329" spans="1:21" ht="16.5" customHeight="1">
      <c r="A329" s="159" t="s">
        <v>261</v>
      </c>
      <c r="B329" s="114" t="str">
        <f>VLOOKUP(A329,'Data pick slip'!B:F,5,FALSE)</f>
        <v>KHJ-MC100-00</v>
      </c>
      <c r="F329" s="157" t="s">
        <v>270</v>
      </c>
      <c r="H329" s="138">
        <v>1934</v>
      </c>
      <c r="I329" s="140" t="e">
        <f>VLOOKUP(H329,Stock_list!A:R,18,FALSE)</f>
        <v>#N/A</v>
      </c>
      <c r="J329" s="139" t="e">
        <f>VLOOKUP(H329,Stock_list!A:S,17,FALSE)</f>
        <v>#N/A</v>
      </c>
      <c r="K329" s="51" t="e">
        <f>VLOOKUP(H329,Stock_list!A:T,16,FALSE)</f>
        <v>#N/A</v>
      </c>
      <c r="L329" s="4">
        <v>45148</v>
      </c>
      <c r="M329" s="140">
        <v>2</v>
      </c>
      <c r="N329" s="143"/>
      <c r="P329" s="4" t="e">
        <f>VLOOKUP(H329,Stock_list!A:Y,25,FALSE)</f>
        <v>#N/A</v>
      </c>
      <c r="T329" s="144"/>
      <c r="U329" s="145" t="e">
        <f>VLOOKUP(H329,Stock_list!A:N,14,FALSE)</f>
        <v>#N/A</v>
      </c>
    </row>
    <row r="330" spans="1:21" ht="23.25" customHeight="1">
      <c r="A330" s="159" t="s">
        <v>261</v>
      </c>
      <c r="B330" s="114" t="str">
        <f>VLOOKUP(A330,'Data pick slip'!B:F,5,FALSE)</f>
        <v>KHJ-MC100-00</v>
      </c>
      <c r="F330" s="157" t="s">
        <v>270</v>
      </c>
      <c r="I330" s="140" t="s">
        <v>1484</v>
      </c>
      <c r="J330" s="267" t="s">
        <v>1483</v>
      </c>
      <c r="K330" s="51" t="s">
        <v>1485</v>
      </c>
      <c r="L330" s="4">
        <v>45156</v>
      </c>
      <c r="M330" s="132">
        <v>110</v>
      </c>
      <c r="P330" s="4" t="s">
        <v>1486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264</v>
      </c>
      <c r="B331" s="114" t="str">
        <f>VLOOKUP(A331,'Data pick slip'!B:F,5,FALSE)</f>
        <v>KHJ-MC200-00</v>
      </c>
      <c r="F331" s="157" t="s">
        <v>270</v>
      </c>
      <c r="I331" s="140" t="s">
        <v>1484</v>
      </c>
      <c r="J331" s="267" t="s">
        <v>1483</v>
      </c>
      <c r="K331" s="51" t="s">
        <v>1485</v>
      </c>
      <c r="L331" s="4">
        <v>45156</v>
      </c>
      <c r="M331" s="132">
        <v>25</v>
      </c>
      <c r="P331" s="4" t="s">
        <v>1486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266</v>
      </c>
      <c r="B332" s="114" t="str">
        <f>VLOOKUP(A332,'Data pick slip'!B:F,5,FALSE)</f>
        <v>KHJ-MC500-00</v>
      </c>
      <c r="F332" s="157" t="s">
        <v>270</v>
      </c>
      <c r="I332" s="140" t="s">
        <v>1484</v>
      </c>
      <c r="J332" s="267" t="s">
        <v>1483</v>
      </c>
      <c r="K332" s="51" t="s">
        <v>1485</v>
      </c>
      <c r="L332" s="4">
        <v>45156</v>
      </c>
      <c r="M332" s="132">
        <v>2</v>
      </c>
      <c r="P332" s="4" t="s">
        <v>1486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267</v>
      </c>
      <c r="B333" s="114" t="str">
        <f>VLOOKUP(A333,'Data pick slip'!B:F,5,FALSE)</f>
        <v>KHJ-MC600-00</v>
      </c>
      <c r="F333" s="157" t="s">
        <v>270</v>
      </c>
      <c r="I333" s="140" t="s">
        <v>1484</v>
      </c>
      <c r="J333" s="267" t="s">
        <v>1483</v>
      </c>
      <c r="K333" s="51" t="s">
        <v>1485</v>
      </c>
      <c r="L333" s="4">
        <v>45156</v>
      </c>
      <c r="M333" s="132">
        <v>2</v>
      </c>
      <c r="P333" s="4" t="s">
        <v>1486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272</v>
      </c>
      <c r="B334" s="114" t="str">
        <f>VLOOKUP(A334,'Data pick slip'!B:F,5,FALSE)</f>
        <v>KLJ-MC100-00</v>
      </c>
      <c r="F334" s="157" t="s">
        <v>270</v>
      </c>
      <c r="I334" s="140" t="s">
        <v>1488</v>
      </c>
      <c r="J334" s="267" t="s">
        <v>1487</v>
      </c>
      <c r="K334" s="51" t="s">
        <v>1485</v>
      </c>
      <c r="L334" s="4">
        <v>45177</v>
      </c>
      <c r="M334" s="140">
        <v>40</v>
      </c>
      <c r="P334" s="4" t="s">
        <v>1486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277</v>
      </c>
      <c r="B335" s="114" t="str">
        <f>VLOOKUP(A335,'Data pick slip'!B:F,5,FALSE)</f>
        <v>KLJ-MC700-00</v>
      </c>
      <c r="F335" s="157" t="s">
        <v>270</v>
      </c>
      <c r="I335" s="140" t="s">
        <v>1488</v>
      </c>
      <c r="J335" s="269" t="s">
        <v>1489</v>
      </c>
      <c r="K335" s="51" t="s">
        <v>1485</v>
      </c>
      <c r="L335" s="4">
        <v>45149</v>
      </c>
      <c r="M335" s="140">
        <v>1</v>
      </c>
      <c r="P335" s="4" t="s">
        <v>1486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261</v>
      </c>
      <c r="B336" s="114" t="str">
        <f>VLOOKUP(A336,'Data pick slip'!B:F,5,FALSE)</f>
        <v>KHJ-MC100-00</v>
      </c>
      <c r="F336" s="157" t="s">
        <v>270</v>
      </c>
      <c r="H336" s="138">
        <v>1938</v>
      </c>
      <c r="I336" s="140" t="e">
        <f>VLOOKUP(H336,Stock_list!A:R,18,FALSE)</f>
        <v>#N/A</v>
      </c>
      <c r="J336" s="139" t="e">
        <f>VLOOKUP(H336,Stock_list!A:S,17,FALSE)</f>
        <v>#N/A</v>
      </c>
      <c r="K336" s="51" t="e">
        <f>VLOOKUP(H336,Stock_list!A:T,16,FALSE)</f>
        <v>#N/A</v>
      </c>
      <c r="L336" s="4">
        <v>45250</v>
      </c>
      <c r="M336" s="140">
        <v>34</v>
      </c>
      <c r="P336" s="4" t="e">
        <f>VLOOKUP(H336,Stock_list!A:Y,25,FALSE)</f>
        <v>#N/A</v>
      </c>
      <c r="Q336" s="143"/>
      <c r="T336" s="144"/>
      <c r="U336" s="145" t="e">
        <f>VLOOKUP(H336,Stock_list!A:N,14,FALSE)</f>
        <v>#N/A</v>
      </c>
    </row>
    <row r="337" spans="1:21" ht="16.5" customHeight="1">
      <c r="A337" s="159" t="s">
        <v>264</v>
      </c>
      <c r="B337" s="114" t="str">
        <f>VLOOKUP(A337,'Data pick slip'!B:F,5,FALSE)</f>
        <v>KHJ-MC200-00</v>
      </c>
      <c r="F337" s="157" t="s">
        <v>270</v>
      </c>
      <c r="H337" s="138">
        <v>1938</v>
      </c>
      <c r="I337" s="140" t="e">
        <f>VLOOKUP(H337,Stock_list!A:R,18,FALSE)</f>
        <v>#N/A</v>
      </c>
      <c r="J337" s="139" t="e">
        <f>VLOOKUP(H337,Stock_list!A:S,17,FALSE)</f>
        <v>#N/A</v>
      </c>
      <c r="K337" s="51" t="e">
        <f>VLOOKUP(H337,Stock_list!A:T,16,FALSE)</f>
        <v>#N/A</v>
      </c>
      <c r="L337" s="4">
        <v>45250</v>
      </c>
      <c r="M337" s="140">
        <v>10</v>
      </c>
      <c r="P337" s="4" t="e">
        <f>VLOOKUP(H337,Stock_list!A:Y,25,FALSE)</f>
        <v>#N/A</v>
      </c>
      <c r="Q337" s="143"/>
      <c r="T337" s="144"/>
      <c r="U337" s="145" t="e">
        <f>VLOOKUP(H337,Stock_list!A:N,14,FALSE)</f>
        <v>#N/A</v>
      </c>
    </row>
    <row r="338" spans="1:21" ht="16.5" customHeight="1">
      <c r="A338" s="159" t="s">
        <v>261</v>
      </c>
      <c r="B338" s="114" t="str">
        <f>VLOOKUP(A338,'Data pick slip'!B:F,5,FALSE)</f>
        <v>KHJ-MC100-00</v>
      </c>
      <c r="F338" s="157" t="s">
        <v>227</v>
      </c>
      <c r="H338" s="138">
        <v>1940</v>
      </c>
      <c r="I338" s="140" t="e">
        <f>VLOOKUP(H338,Stock_list!A:R,18,FALSE)</f>
        <v>#N/A</v>
      </c>
      <c r="J338" s="139" t="e">
        <f>VLOOKUP(H338,Stock_list!A:S,17,FALSE)</f>
        <v>#N/A</v>
      </c>
      <c r="K338" s="51" t="e">
        <f>VLOOKUP(H338,Stock_list!A:T,16,FALSE)</f>
        <v>#N/A</v>
      </c>
      <c r="L338" s="4">
        <v>45247</v>
      </c>
      <c r="M338" s="132">
        <v>100</v>
      </c>
      <c r="P338" s="4" t="e">
        <f>VLOOKUP(H338,Stock_list!A:Y,25,FALSE)</f>
        <v>#N/A</v>
      </c>
      <c r="Q338" s="143"/>
      <c r="T338" s="144"/>
      <c r="U338" s="145" t="e">
        <f>VLOOKUP(H338,Stock_list!A:N,14,FALSE)</f>
        <v>#N/A</v>
      </c>
    </row>
    <row r="339" spans="1:21" ht="16.5" customHeight="1">
      <c r="A339" s="159" t="s">
        <v>264</v>
      </c>
      <c r="B339" s="114" t="str">
        <f>VLOOKUP(A339,'Data pick slip'!B:F,5,FALSE)</f>
        <v>KHJ-MC200-00</v>
      </c>
      <c r="F339" s="157" t="s">
        <v>227</v>
      </c>
      <c r="H339" s="138">
        <v>1940</v>
      </c>
      <c r="I339" s="140" t="e">
        <f>VLOOKUP(H339,Stock_list!A:R,18,FALSE)</f>
        <v>#N/A</v>
      </c>
      <c r="J339" s="139" t="e">
        <f>VLOOKUP(H339,Stock_list!A:S,17,FALSE)</f>
        <v>#N/A</v>
      </c>
      <c r="K339" s="51" t="e">
        <f>VLOOKUP(H339,Stock_list!A:T,16,FALSE)</f>
        <v>#N/A</v>
      </c>
      <c r="L339" s="4">
        <v>45247</v>
      </c>
      <c r="M339" s="132">
        <v>10</v>
      </c>
      <c r="P339" s="4" t="e">
        <f>VLOOKUP(H339,Stock_list!A:Y,25,FALSE)</f>
        <v>#N/A</v>
      </c>
      <c r="Q339" s="143"/>
      <c r="T339" s="144"/>
      <c r="U339" s="145" t="e">
        <f>VLOOKUP(H339,Stock_list!A:N,14,FALSE)</f>
        <v>#N/A</v>
      </c>
    </row>
    <row r="340" spans="1:21" ht="16.5" customHeight="1">
      <c r="A340" s="159" t="s">
        <v>265</v>
      </c>
      <c r="B340" s="114" t="str">
        <f>VLOOKUP(A340,'Data pick slip'!B:F,5,FALSE)</f>
        <v>KHJ-MC400-00</v>
      </c>
      <c r="F340" s="157" t="s">
        <v>270</v>
      </c>
      <c r="H340" s="138">
        <v>1940</v>
      </c>
      <c r="I340" s="140" t="e">
        <f>VLOOKUP(H340,Stock_list!A:R,18,FALSE)</f>
        <v>#N/A</v>
      </c>
      <c r="J340" s="139" t="e">
        <f>VLOOKUP(H340,Stock_list!A:S,17,FALSE)</f>
        <v>#N/A</v>
      </c>
      <c r="K340" s="51" t="e">
        <f>VLOOKUP(H340,Stock_list!A:T,16,FALSE)</f>
        <v>#N/A</v>
      </c>
      <c r="L340" s="4">
        <v>45247</v>
      </c>
      <c r="M340" s="132">
        <v>3</v>
      </c>
      <c r="P340" s="4" t="e">
        <f>VLOOKUP(H340,Stock_list!A:Y,25,FALSE)</f>
        <v>#N/A</v>
      </c>
      <c r="Q340" s="143"/>
      <c r="T340" s="144"/>
      <c r="U340" s="145" t="e">
        <f>VLOOKUP(H340,Stock_list!A:N,14,FALSE)</f>
        <v>#N/A</v>
      </c>
    </row>
    <row r="341" spans="1:21" ht="16.5" customHeight="1">
      <c r="A341" s="159" t="s">
        <v>266</v>
      </c>
      <c r="B341" s="114" t="str">
        <f>VLOOKUP(A341,'Data pick slip'!B:F,5,FALSE)</f>
        <v>KHJ-MC500-00</v>
      </c>
      <c r="F341" s="157" t="s">
        <v>227</v>
      </c>
      <c r="H341" s="138">
        <v>1940</v>
      </c>
      <c r="I341" s="140" t="e">
        <f>VLOOKUP(H341,Stock_list!A:R,18,FALSE)</f>
        <v>#N/A</v>
      </c>
      <c r="J341" s="139" t="e">
        <f>VLOOKUP(H341,Stock_list!A:S,17,FALSE)</f>
        <v>#N/A</v>
      </c>
      <c r="K341" s="51" t="e">
        <f>VLOOKUP(H341,Stock_list!A:T,16,FALSE)</f>
        <v>#N/A</v>
      </c>
      <c r="L341" s="4">
        <v>45247</v>
      </c>
      <c r="M341" s="132">
        <v>2</v>
      </c>
      <c r="P341" s="4" t="e">
        <f>VLOOKUP(H341,Stock_list!A:Y,25,FALSE)</f>
        <v>#N/A</v>
      </c>
      <c r="Q341" s="143"/>
      <c r="T341" s="144"/>
      <c r="U341" s="145" t="e">
        <f>VLOOKUP(H341,Stock_list!A:N,14,FALSE)</f>
        <v>#N/A</v>
      </c>
    </row>
    <row r="342" spans="1:21" ht="16.5" customHeight="1">
      <c r="A342" s="159" t="s">
        <v>261</v>
      </c>
      <c r="B342" s="114" t="str">
        <f>VLOOKUP(A342,'Data pick slip'!B:F,5,FALSE)</f>
        <v>KHJ-MC100-00</v>
      </c>
      <c r="F342" s="157" t="s">
        <v>227</v>
      </c>
      <c r="I342" s="390" t="s">
        <v>1429</v>
      </c>
      <c r="J342" s="139" t="s">
        <v>1490</v>
      </c>
      <c r="K342" s="51" t="s">
        <v>520</v>
      </c>
      <c r="L342" s="4">
        <v>45132</v>
      </c>
      <c r="M342" s="140">
        <v>5</v>
      </c>
      <c r="P342" s="4" t="s">
        <v>214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261</v>
      </c>
      <c r="B343" s="114" t="str">
        <f>VLOOKUP(A343,'Data pick slip'!B:F,5,FALSE)</f>
        <v>KHJ-MC100-00</v>
      </c>
      <c r="F343" s="157" t="s">
        <v>270</v>
      </c>
      <c r="H343" s="138">
        <v>1946</v>
      </c>
      <c r="I343" s="140" t="e">
        <f>VLOOKUP(H343,Stock_list!A:R,18,FALSE)</f>
        <v>#N/A</v>
      </c>
      <c r="J343" s="139" t="e">
        <f>VLOOKUP(H343,Stock_list!A:S,17,FALSE)</f>
        <v>#N/A</v>
      </c>
      <c r="K343" s="51" t="e">
        <f>VLOOKUP(H343,Stock_list!A:T,16,FALSE)</f>
        <v>#N/A</v>
      </c>
      <c r="L343" s="4">
        <v>45190</v>
      </c>
      <c r="M343" s="140">
        <v>210</v>
      </c>
      <c r="N343" s="143"/>
      <c r="P343" s="4" t="e">
        <f>VLOOKUP(H343,Stock_list!A:Y,25,FALSE)</f>
        <v>#N/A</v>
      </c>
      <c r="T343" s="144"/>
      <c r="U343" s="145" t="e">
        <f>VLOOKUP(H343,Stock_list!A:N,14,FALSE)</f>
        <v>#N/A</v>
      </c>
    </row>
    <row r="344" spans="1:21" ht="16.5" customHeight="1">
      <c r="A344" s="159" t="s">
        <v>264</v>
      </c>
      <c r="B344" s="114" t="str">
        <f>VLOOKUP(A344,'Data pick slip'!B:F,5,FALSE)</f>
        <v>KHJ-MC200-00</v>
      </c>
      <c r="F344" s="157" t="s">
        <v>270</v>
      </c>
      <c r="H344" s="138">
        <v>1946</v>
      </c>
      <c r="I344" s="140" t="e">
        <f>VLOOKUP(H344,Stock_list!A:R,18,FALSE)</f>
        <v>#N/A</v>
      </c>
      <c r="J344" s="139" t="e">
        <f>VLOOKUP(H344,Stock_list!A:S,17,FALSE)</f>
        <v>#N/A</v>
      </c>
      <c r="K344" s="51" t="e">
        <f>VLOOKUP(H344,Stock_list!A:T,16,FALSE)</f>
        <v>#N/A</v>
      </c>
      <c r="L344" s="4">
        <v>45190</v>
      </c>
      <c r="M344" s="140">
        <v>10</v>
      </c>
      <c r="N344" s="143"/>
      <c r="P344" s="4" t="e">
        <f>VLOOKUP(H344,Stock_list!A:Y,25,FALSE)</f>
        <v>#N/A</v>
      </c>
      <c r="T344" s="144"/>
      <c r="U344" s="145" t="e">
        <f>VLOOKUP(H344,Stock_list!A:N,14,FALSE)</f>
        <v>#N/A</v>
      </c>
    </row>
    <row r="345" spans="1:21" ht="16.5" customHeight="1">
      <c r="A345" s="159" t="s">
        <v>265</v>
      </c>
      <c r="B345" s="114" t="str">
        <f>VLOOKUP(A345,'Data pick slip'!B:F,5,FALSE)</f>
        <v>KHJ-MC400-00</v>
      </c>
      <c r="F345" s="157" t="s">
        <v>270</v>
      </c>
      <c r="H345" s="138">
        <v>1946</v>
      </c>
      <c r="I345" s="140" t="e">
        <f>VLOOKUP(H345,Stock_list!A:R,18,FALSE)</f>
        <v>#N/A</v>
      </c>
      <c r="J345" s="139" t="e">
        <f>VLOOKUP(H345,Stock_list!A:S,17,FALSE)</f>
        <v>#N/A</v>
      </c>
      <c r="K345" s="51" t="e">
        <f>VLOOKUP(H345,Stock_list!A:T,16,FALSE)</f>
        <v>#N/A</v>
      </c>
      <c r="L345" s="4">
        <v>45190</v>
      </c>
      <c r="M345" s="140">
        <v>6</v>
      </c>
      <c r="N345" s="143"/>
      <c r="P345" s="4" t="e">
        <f>VLOOKUP(H345,Stock_list!A:Y,25,FALSE)</f>
        <v>#N/A</v>
      </c>
      <c r="T345" s="144"/>
      <c r="U345" s="145" t="e">
        <f>VLOOKUP(H345,Stock_list!A:N,14,FALSE)</f>
        <v>#N/A</v>
      </c>
    </row>
    <row r="346" spans="1:21" ht="16.5" customHeight="1">
      <c r="A346" s="159" t="s">
        <v>266</v>
      </c>
      <c r="B346" s="114" t="str">
        <f>VLOOKUP(A346,'Data pick slip'!B:F,5,FALSE)</f>
        <v>KHJ-MC500-00</v>
      </c>
      <c r="F346" s="157" t="s">
        <v>270</v>
      </c>
      <c r="H346" s="138">
        <v>1946</v>
      </c>
      <c r="I346" s="140" t="e">
        <f>VLOOKUP(H346,Stock_list!A:R,18,FALSE)</f>
        <v>#N/A</v>
      </c>
      <c r="J346" s="139" t="e">
        <f>VLOOKUP(H346,Stock_list!A:S,17,FALSE)</f>
        <v>#N/A</v>
      </c>
      <c r="K346" s="51" t="e">
        <f>VLOOKUP(H346,Stock_list!A:T,16,FALSE)</f>
        <v>#N/A</v>
      </c>
      <c r="L346" s="4">
        <v>45190</v>
      </c>
      <c r="M346" s="140">
        <v>2</v>
      </c>
      <c r="N346" s="143"/>
      <c r="P346" s="4" t="e">
        <f>VLOOKUP(H346,Stock_list!A:Y,25,FALSE)</f>
        <v>#N/A</v>
      </c>
      <c r="T346" s="144"/>
      <c r="U346" s="145" t="e">
        <f>VLOOKUP(H346,Stock_list!A:N,14,FALSE)</f>
        <v>#N/A</v>
      </c>
    </row>
    <row r="347" spans="1:21" ht="16.5" customHeight="1">
      <c r="A347" s="159" t="s">
        <v>261</v>
      </c>
      <c r="B347" s="114" t="str">
        <f>VLOOKUP(A347,'Data pick slip'!B:F,5,FALSE)</f>
        <v>KHJ-MC100-00</v>
      </c>
      <c r="F347" s="157" t="s">
        <v>270</v>
      </c>
      <c r="H347" s="138">
        <v>1954</v>
      </c>
      <c r="I347" s="140" t="e">
        <f>VLOOKUP(H347,Stock_list!A:R,18,FALSE)</f>
        <v>#N/A</v>
      </c>
      <c r="J347" s="139" t="e">
        <f>VLOOKUP(H347,Stock_list!A:S,17,FALSE)</f>
        <v>#N/A</v>
      </c>
      <c r="K347" s="51" t="e">
        <f>VLOOKUP(H347,Stock_list!A:T,16,FALSE)</f>
        <v>#N/A</v>
      </c>
      <c r="L347" s="4">
        <v>45168</v>
      </c>
      <c r="M347" s="143">
        <v>40</v>
      </c>
      <c r="P347" s="4" t="e">
        <f>VLOOKUP(H347,Stock_list!A:Y,25,FALSE)</f>
        <v>#N/A</v>
      </c>
      <c r="T347" s="144"/>
      <c r="U347" s="145" t="e">
        <f>VLOOKUP(H347,Stock_list!A:N,14,FALSE)</f>
        <v>#N/A</v>
      </c>
    </row>
    <row r="348" spans="1:21" ht="16.5" customHeight="1">
      <c r="A348" s="159" t="s">
        <v>264</v>
      </c>
      <c r="B348" s="114" t="str">
        <f>VLOOKUP(A348,'Data pick slip'!B:F,5,FALSE)</f>
        <v>KHJ-MC200-00</v>
      </c>
      <c r="F348" s="157" t="s">
        <v>270</v>
      </c>
      <c r="H348" s="138">
        <v>1954</v>
      </c>
      <c r="I348" s="140" t="e">
        <f>VLOOKUP(H348,Stock_list!A:R,18,FALSE)</f>
        <v>#N/A</v>
      </c>
      <c r="J348" s="139" t="e">
        <f>VLOOKUP(H348,Stock_list!A:S,17,FALSE)</f>
        <v>#N/A</v>
      </c>
      <c r="K348" s="51" t="e">
        <f>VLOOKUP(H348,Stock_list!A:T,16,FALSE)</f>
        <v>#N/A</v>
      </c>
      <c r="L348" s="4">
        <v>45168</v>
      </c>
      <c r="M348" s="143">
        <v>10</v>
      </c>
      <c r="P348" s="4" t="e">
        <f>VLOOKUP(H348,Stock_list!A:Y,25,FALSE)</f>
        <v>#N/A</v>
      </c>
      <c r="T348" s="144"/>
      <c r="U348" s="145" t="e">
        <f>VLOOKUP(H348,Stock_list!A:N,14,FALSE)</f>
        <v>#N/A</v>
      </c>
    </row>
    <row r="349" spans="1:21" ht="16.5" customHeight="1">
      <c r="A349" s="159" t="s">
        <v>265</v>
      </c>
      <c r="B349" s="114" t="str">
        <f>VLOOKUP(A349,'Data pick slip'!B:F,5,FALSE)</f>
        <v>KHJ-MC400-00</v>
      </c>
      <c r="F349" s="157" t="s">
        <v>270</v>
      </c>
      <c r="H349" s="138">
        <v>1954</v>
      </c>
      <c r="I349" s="140" t="e">
        <f>VLOOKUP(H349,Stock_list!A:R,18,FALSE)</f>
        <v>#N/A</v>
      </c>
      <c r="J349" s="139" t="e">
        <f>VLOOKUP(H349,Stock_list!A:S,17,FALSE)</f>
        <v>#N/A</v>
      </c>
      <c r="K349" s="51" t="e">
        <f>VLOOKUP(H349,Stock_list!A:T,16,FALSE)</f>
        <v>#N/A</v>
      </c>
      <c r="L349" s="4">
        <v>45168</v>
      </c>
      <c r="M349" s="143">
        <v>3</v>
      </c>
      <c r="P349" s="4" t="e">
        <f>VLOOKUP(H349,Stock_list!A:Y,25,FALSE)</f>
        <v>#N/A</v>
      </c>
      <c r="T349" s="144"/>
      <c r="U349" s="145" t="e">
        <f>VLOOKUP(H349,Stock_list!A:N,14,FALSE)</f>
        <v>#N/A</v>
      </c>
    </row>
    <row r="350" spans="1:21" ht="16.5" customHeight="1">
      <c r="A350" s="159" t="s">
        <v>261</v>
      </c>
      <c r="B350" s="114" t="str">
        <f>VLOOKUP(A350,'Data pick slip'!B:F,5,FALSE)</f>
        <v>KHJ-MC100-00</v>
      </c>
      <c r="F350" s="157" t="s">
        <v>227</v>
      </c>
      <c r="I350" s="140" t="s">
        <v>1492</v>
      </c>
      <c r="J350" s="139" t="s">
        <v>1495</v>
      </c>
      <c r="K350" s="51" t="s">
        <v>1494</v>
      </c>
      <c r="L350" s="4">
        <v>45138</v>
      </c>
      <c r="M350" s="140">
        <v>110</v>
      </c>
      <c r="P350" s="4" t="s">
        <v>1493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264</v>
      </c>
      <c r="B351" s="114" t="str">
        <f>VLOOKUP(A351,'Data pick slip'!B:F,5,FALSE)</f>
        <v>KHJ-MC200-00</v>
      </c>
      <c r="F351" s="157" t="s">
        <v>227</v>
      </c>
      <c r="I351" s="140" t="s">
        <v>1492</v>
      </c>
      <c r="J351" s="139" t="s">
        <v>1495</v>
      </c>
      <c r="K351" s="51" t="s">
        <v>1494</v>
      </c>
      <c r="L351" s="4">
        <v>45138</v>
      </c>
      <c r="M351" s="140">
        <v>25</v>
      </c>
      <c r="P351" s="4" t="s">
        <v>1493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266</v>
      </c>
      <c r="B352" s="114" t="str">
        <f>VLOOKUP(A352,'Data pick slip'!B:F,5,FALSE)</f>
        <v>KHJ-MC500-00</v>
      </c>
      <c r="F352" s="157" t="s">
        <v>227</v>
      </c>
      <c r="I352" s="140" t="s">
        <v>1492</v>
      </c>
      <c r="J352" s="139" t="s">
        <v>1495</v>
      </c>
      <c r="K352" s="51" t="s">
        <v>1494</v>
      </c>
      <c r="L352" s="4">
        <v>45138</v>
      </c>
      <c r="M352" s="140">
        <v>2</v>
      </c>
      <c r="P352" s="4" t="s">
        <v>1493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267</v>
      </c>
      <c r="B353" s="114" t="str">
        <f>VLOOKUP(A353,'Data pick slip'!B:F,5,FALSE)</f>
        <v>KHJ-MC600-00</v>
      </c>
      <c r="F353" s="157" t="s">
        <v>227</v>
      </c>
      <c r="I353" s="140" t="s">
        <v>1492</v>
      </c>
      <c r="J353" s="139" t="s">
        <v>1495</v>
      </c>
      <c r="K353" s="51" t="s">
        <v>1494</v>
      </c>
      <c r="L353" s="4">
        <v>45138</v>
      </c>
      <c r="M353" s="140">
        <v>2</v>
      </c>
      <c r="P353" s="4" t="s">
        <v>1493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272</v>
      </c>
      <c r="B354" s="114" t="str">
        <f>VLOOKUP(A354,'Data pick slip'!B:F,5,FALSE)</f>
        <v>KLJ-MC100-00</v>
      </c>
      <c r="F354" s="157" t="s">
        <v>227</v>
      </c>
      <c r="I354" s="140" t="s">
        <v>1492</v>
      </c>
      <c r="J354" s="139" t="s">
        <v>1495</v>
      </c>
      <c r="K354" s="51" t="s">
        <v>1494</v>
      </c>
      <c r="L354" s="4">
        <v>45138</v>
      </c>
      <c r="M354" s="140">
        <v>40</v>
      </c>
      <c r="P354" s="4" t="s">
        <v>1493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277</v>
      </c>
      <c r="B355" s="114" t="str">
        <f>VLOOKUP(A355,'Data pick slip'!B:F,5,FALSE)</f>
        <v>KLJ-MC700-00</v>
      </c>
      <c r="F355" s="157" t="s">
        <v>227</v>
      </c>
      <c r="I355" s="140" t="s">
        <v>1492</v>
      </c>
      <c r="J355" s="139" t="s">
        <v>1495</v>
      </c>
      <c r="K355" s="51" t="s">
        <v>1494</v>
      </c>
      <c r="L355" s="4">
        <v>45138</v>
      </c>
      <c r="M355" s="140">
        <v>1</v>
      </c>
      <c r="P355" s="4" t="s">
        <v>1493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265</v>
      </c>
      <c r="B356" s="114" t="str">
        <f>VLOOKUP(A356,'Data pick slip'!B:F,5,FALSE)</f>
        <v>KHJ-MC400-00</v>
      </c>
      <c r="F356" s="157" t="s">
        <v>270</v>
      </c>
      <c r="H356" s="138" t="s">
        <v>1508</v>
      </c>
      <c r="I356" s="140">
        <v>66</v>
      </c>
      <c r="J356" s="270" t="s">
        <v>1505</v>
      </c>
      <c r="K356" s="51" t="s">
        <v>1506</v>
      </c>
      <c r="L356" s="4">
        <v>45146</v>
      </c>
      <c r="M356" s="140">
        <v>1</v>
      </c>
      <c r="P356" s="4" t="s">
        <v>1517</v>
      </c>
      <c r="Q356" s="143"/>
      <c r="S356" s="123" t="s">
        <v>1507</v>
      </c>
      <c r="T356" s="144"/>
      <c r="U356" s="145" t="e">
        <f>VLOOKUP(H356,Stock_list!A:N,14,FALSE)</f>
        <v>#N/A</v>
      </c>
    </row>
    <row r="357" spans="1:21" ht="18" customHeight="1">
      <c r="A357" s="159" t="s">
        <v>272</v>
      </c>
      <c r="B357" s="114" t="str">
        <f>VLOOKUP(A357,'Data pick slip'!B:F,5,FALSE)</f>
        <v>KLJ-MC100-00</v>
      </c>
      <c r="F357" s="157" t="s">
        <v>270</v>
      </c>
      <c r="H357" s="138" t="s">
        <v>1509</v>
      </c>
      <c r="I357" s="140">
        <v>66</v>
      </c>
      <c r="J357" s="404" t="s">
        <v>1510</v>
      </c>
      <c r="K357" s="51" t="s">
        <v>225</v>
      </c>
      <c r="L357" s="4">
        <v>45148</v>
      </c>
      <c r="M357" s="140">
        <v>3</v>
      </c>
      <c r="P357" s="4" t="s">
        <v>1518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261</v>
      </c>
      <c r="B358" s="114" t="str">
        <f>VLOOKUP(A358,'Data pick slip'!B:F,5,FALSE)</f>
        <v>KHJ-MC100-00</v>
      </c>
      <c r="F358" s="157" t="s">
        <v>270</v>
      </c>
      <c r="I358" s="140" t="s">
        <v>1512</v>
      </c>
      <c r="J358" s="270" t="s">
        <v>1511</v>
      </c>
      <c r="K358" s="51" t="s">
        <v>1513</v>
      </c>
      <c r="L358" s="4">
        <v>45173</v>
      </c>
      <c r="M358" s="140">
        <v>70</v>
      </c>
      <c r="P358" s="4" t="s">
        <v>1514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264</v>
      </c>
      <c r="B359" s="114" t="str">
        <f>VLOOKUP(A359,'Data pick slip'!B:F,5,FALSE)</f>
        <v>KHJ-MC200-00</v>
      </c>
      <c r="F359" s="157" t="s">
        <v>270</v>
      </c>
      <c r="I359" s="140" t="s">
        <v>1512</v>
      </c>
      <c r="J359" s="270" t="s">
        <v>1511</v>
      </c>
      <c r="K359" s="51" t="s">
        <v>1513</v>
      </c>
      <c r="L359" s="4">
        <v>45173</v>
      </c>
      <c r="M359" s="140">
        <v>9</v>
      </c>
      <c r="P359" s="4" t="s">
        <v>1514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264</v>
      </c>
      <c r="B360" s="114" t="str">
        <f>VLOOKUP(A360,'Data pick slip'!B:F,5,FALSE)</f>
        <v>KHJ-MC200-00</v>
      </c>
      <c r="F360" s="157" t="s">
        <v>270</v>
      </c>
      <c r="H360" s="138" t="s">
        <v>1516</v>
      </c>
      <c r="I360" s="140">
        <v>66</v>
      </c>
      <c r="J360" s="267" t="s">
        <v>1515</v>
      </c>
      <c r="K360" s="51" t="s">
        <v>225</v>
      </c>
      <c r="L360" s="4">
        <v>45156</v>
      </c>
      <c r="M360" s="140">
        <v>5</v>
      </c>
      <c r="P360" s="4" t="s">
        <v>1708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261</v>
      </c>
      <c r="B361" s="114" t="str">
        <f>VLOOKUP(A361,'Data pick slip'!B:F,5,FALSE)</f>
        <v>KHJ-MC100-00</v>
      </c>
      <c r="F361" s="157" t="s">
        <v>270</v>
      </c>
      <c r="H361" s="138" t="s">
        <v>1585</v>
      </c>
      <c r="I361" s="140">
        <v>66</v>
      </c>
      <c r="J361" s="269" t="s">
        <v>1520</v>
      </c>
      <c r="K361" s="51" t="s">
        <v>1521</v>
      </c>
      <c r="L361" s="4">
        <v>45156</v>
      </c>
      <c r="M361" s="140">
        <v>2</v>
      </c>
      <c r="P361" s="4" t="s">
        <v>1519</v>
      </c>
      <c r="Q361" s="143"/>
      <c r="S361" s="123" t="s">
        <v>1507</v>
      </c>
      <c r="T361" s="144"/>
      <c r="U361" s="145" t="e">
        <f>VLOOKUP(H361,Stock_list!A:N,14,FALSE)</f>
        <v>#N/A</v>
      </c>
    </row>
    <row r="362" spans="1:21" ht="16.5" customHeight="1">
      <c r="A362" s="159" t="s">
        <v>261</v>
      </c>
      <c r="B362" s="114" t="str">
        <f>VLOOKUP(A362,'Data pick slip'!B:F,5,FALSE)</f>
        <v>KHJ-MC100-00</v>
      </c>
      <c r="F362" s="157" t="s">
        <v>270</v>
      </c>
      <c r="H362" s="138" t="s">
        <v>1516</v>
      </c>
      <c r="I362" s="140">
        <v>66</v>
      </c>
      <c r="J362" s="267" t="s">
        <v>1522</v>
      </c>
      <c r="K362" s="51" t="s">
        <v>225</v>
      </c>
      <c r="L362" s="4">
        <v>45159</v>
      </c>
      <c r="M362" s="140">
        <v>6</v>
      </c>
      <c r="P362" s="4" t="s">
        <v>1518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272</v>
      </c>
      <c r="B363" s="114" t="str">
        <f>VLOOKUP(A363,'Data pick slip'!B:F,5,FALSE)</f>
        <v>KLJ-MC100-00</v>
      </c>
      <c r="F363" s="157" t="s">
        <v>227</v>
      </c>
      <c r="I363" s="390" t="s">
        <v>1429</v>
      </c>
      <c r="J363" s="139" t="s">
        <v>1523</v>
      </c>
      <c r="K363" s="51" t="s">
        <v>225</v>
      </c>
      <c r="L363" s="4">
        <v>45162</v>
      </c>
      <c r="M363" s="140">
        <v>3</v>
      </c>
      <c r="P363" s="4" t="s">
        <v>1524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261</v>
      </c>
      <c r="B364" s="114" t="str">
        <f>VLOOKUP(A364,'Data pick slip'!B:F,5,FALSE)</f>
        <v>KHJ-MC100-00</v>
      </c>
      <c r="F364" s="157" t="s">
        <v>227</v>
      </c>
      <c r="I364" s="390" t="s">
        <v>1429</v>
      </c>
      <c r="J364" s="139" t="s">
        <v>1523</v>
      </c>
      <c r="K364" s="51" t="s">
        <v>225</v>
      </c>
      <c r="L364" s="4">
        <v>45162</v>
      </c>
      <c r="M364" s="140">
        <v>6</v>
      </c>
      <c r="P364" s="4" t="s">
        <v>1524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265</v>
      </c>
      <c r="B365" s="114" t="str">
        <f>VLOOKUP(A365,'Data pick slip'!B:F,5,FALSE)</f>
        <v>KHJ-MC400-00</v>
      </c>
      <c r="F365" s="157" t="s">
        <v>270</v>
      </c>
      <c r="H365" s="138" t="s">
        <v>1526</v>
      </c>
      <c r="I365" s="140">
        <v>66</v>
      </c>
      <c r="J365" s="267" t="s">
        <v>1525</v>
      </c>
      <c r="K365" s="51" t="s">
        <v>1527</v>
      </c>
      <c r="L365" s="4">
        <v>45163</v>
      </c>
      <c r="M365" s="140">
        <v>1</v>
      </c>
      <c r="P365" s="4" t="s">
        <v>1518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265</v>
      </c>
      <c r="B366" s="114" t="str">
        <f>VLOOKUP(A366,'Data pick slip'!B:F,5,FALSE)</f>
        <v>KHJ-MC400-00</v>
      </c>
      <c r="F366" s="157" t="s">
        <v>270</v>
      </c>
      <c r="H366" s="138" t="s">
        <v>1508</v>
      </c>
      <c r="I366" s="140">
        <v>66</v>
      </c>
      <c r="J366" s="267" t="s">
        <v>1528</v>
      </c>
      <c r="K366" s="51" t="s">
        <v>225</v>
      </c>
      <c r="L366" s="4">
        <v>45167</v>
      </c>
      <c r="M366" s="140">
        <v>1</v>
      </c>
      <c r="P366" s="4" t="s">
        <v>1518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264</v>
      </c>
      <c r="B367" s="114" t="str">
        <f>VLOOKUP(A367,'Data pick slip'!B:F,5,FALSE)</f>
        <v>KHJ-MC200-00</v>
      </c>
      <c r="F367" s="157" t="s">
        <v>270</v>
      </c>
      <c r="H367" s="138" t="s">
        <v>1531</v>
      </c>
      <c r="I367" s="140">
        <v>66</v>
      </c>
      <c r="J367" s="267" t="s">
        <v>1532</v>
      </c>
      <c r="K367" s="51" t="s">
        <v>1533</v>
      </c>
      <c r="L367" s="4">
        <v>45169</v>
      </c>
      <c r="M367" s="140">
        <v>4</v>
      </c>
      <c r="P367" s="4" t="s">
        <v>1518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261</v>
      </c>
      <c r="B368" s="114" t="str">
        <f>VLOOKUP(A368,'Data pick slip'!B:F,5,FALSE)</f>
        <v>KHJ-MC100-00</v>
      </c>
      <c r="F368" s="157" t="s">
        <v>270</v>
      </c>
      <c r="H368" s="138">
        <v>1971</v>
      </c>
      <c r="I368" s="140" t="e">
        <f>VLOOKUP(H368,Stock_list!A:R,18,FALSE)</f>
        <v>#N/A</v>
      </c>
      <c r="J368" s="139" t="e">
        <f>VLOOKUP(H368,Stock_list!A:S,17,FALSE)</f>
        <v>#N/A</v>
      </c>
      <c r="K368" s="51" t="e">
        <f>VLOOKUP(H368,Stock_list!A:T,16,FALSE)</f>
        <v>#N/A</v>
      </c>
      <c r="L368" s="4">
        <v>45207</v>
      </c>
      <c r="M368" s="140">
        <v>30</v>
      </c>
      <c r="P368" s="4" t="e">
        <f>VLOOKUP(H368,Stock_list!A:Y,25,FALSE)</f>
        <v>#N/A</v>
      </c>
      <c r="Q368" s="143"/>
      <c r="T368" s="144"/>
      <c r="U368" s="145" t="e">
        <f>VLOOKUP(H368,Stock_list!A:N,14,FALSE)</f>
        <v>#N/A</v>
      </c>
    </row>
    <row r="369" spans="1:21" ht="16.5" customHeight="1">
      <c r="A369" s="159" t="s">
        <v>272</v>
      </c>
      <c r="B369" s="114" t="str">
        <f>VLOOKUP(A369,'Data pick slip'!B:F,5,FALSE)</f>
        <v>KLJ-MC100-00</v>
      </c>
      <c r="F369" s="157" t="s">
        <v>227</v>
      </c>
      <c r="H369" s="138" t="s">
        <v>1540</v>
      </c>
      <c r="I369" s="140">
        <v>66</v>
      </c>
      <c r="J369" s="267" t="s">
        <v>1538</v>
      </c>
      <c r="K369" s="51" t="s">
        <v>1539</v>
      </c>
      <c r="L369" s="4">
        <v>45173</v>
      </c>
      <c r="M369" s="140">
        <v>10</v>
      </c>
      <c r="P369" s="4" t="s">
        <v>1517</v>
      </c>
      <c r="Q369" s="143"/>
      <c r="S369" s="544" t="s">
        <v>1733</v>
      </c>
      <c r="T369" s="144"/>
      <c r="U369" s="145" t="e">
        <f>VLOOKUP(H369,Stock_list!A:N,14,FALSE)</f>
        <v>#N/A</v>
      </c>
    </row>
    <row r="370" spans="1:21" ht="16.5" customHeight="1">
      <c r="A370" s="159" t="s">
        <v>261</v>
      </c>
      <c r="B370" s="114" t="str">
        <f>VLOOKUP(A370,'Data pick slip'!B:F,5,FALSE)</f>
        <v>KHJ-MC100-00</v>
      </c>
      <c r="F370" s="157" t="s">
        <v>270</v>
      </c>
      <c r="I370" s="140" t="s">
        <v>1541</v>
      </c>
      <c r="J370" s="269" t="s">
        <v>1543</v>
      </c>
      <c r="K370" s="51" t="s">
        <v>1542</v>
      </c>
      <c r="L370" s="4">
        <v>45194</v>
      </c>
      <c r="M370" s="132">
        <v>150</v>
      </c>
      <c r="P370" s="4" t="s">
        <v>214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264</v>
      </c>
      <c r="B371" s="114" t="str">
        <f>VLOOKUP(A371,'Data pick slip'!B:F,5,FALSE)</f>
        <v>KHJ-MC200-00</v>
      </c>
      <c r="F371" s="157" t="s">
        <v>270</v>
      </c>
      <c r="I371" s="140" t="s">
        <v>1541</v>
      </c>
      <c r="J371" s="269" t="s">
        <v>1543</v>
      </c>
      <c r="K371" s="51" t="s">
        <v>1542</v>
      </c>
      <c r="L371" s="4">
        <v>45194</v>
      </c>
      <c r="M371" s="132">
        <v>50</v>
      </c>
      <c r="P371" s="4" t="s">
        <v>214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265</v>
      </c>
      <c r="B372" s="114" t="str">
        <f>VLOOKUP(A372,'Data pick slip'!B:F,5,FALSE)</f>
        <v>KHJ-MC400-00</v>
      </c>
      <c r="F372" s="157" t="s">
        <v>270</v>
      </c>
      <c r="I372" s="140" t="s">
        <v>1541</v>
      </c>
      <c r="J372" s="269" t="s">
        <v>1543</v>
      </c>
      <c r="K372" s="51" t="s">
        <v>1542</v>
      </c>
      <c r="L372" s="4">
        <v>45194</v>
      </c>
      <c r="M372" s="132">
        <v>5</v>
      </c>
      <c r="P372" s="4" t="s">
        <v>214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266</v>
      </c>
      <c r="B373" s="114" t="str">
        <f>VLOOKUP(A373,'Data pick slip'!B:F,5,FALSE)</f>
        <v>KHJ-MC500-00</v>
      </c>
      <c r="F373" s="157" t="s">
        <v>270</v>
      </c>
      <c r="I373" s="140" t="s">
        <v>1541</v>
      </c>
      <c r="J373" s="269" t="s">
        <v>1543</v>
      </c>
      <c r="K373" s="51" t="s">
        <v>1542</v>
      </c>
      <c r="L373" s="4">
        <v>45194</v>
      </c>
      <c r="M373" s="132">
        <v>2</v>
      </c>
      <c r="P373" s="4" t="s">
        <v>214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261</v>
      </c>
      <c r="B374" s="114" t="str">
        <f>VLOOKUP(A374,'Data pick slip'!B:F,5,FALSE)</f>
        <v>KHJ-MC100-00</v>
      </c>
      <c r="F374" s="157" t="s">
        <v>270</v>
      </c>
      <c r="H374" s="138">
        <v>1955</v>
      </c>
      <c r="I374" s="140" t="e">
        <f>VLOOKUP(H374,Stock_list!A:R,18,FALSE)</f>
        <v>#N/A</v>
      </c>
      <c r="J374" s="139" t="e">
        <f>VLOOKUP(H374,Stock_list!A:S,17,FALSE)</f>
        <v>#N/A</v>
      </c>
      <c r="K374" s="51" t="e">
        <f>VLOOKUP(H374,Stock_list!A:T,16,FALSE)</f>
        <v>#N/A</v>
      </c>
      <c r="L374" s="4">
        <v>45182</v>
      </c>
      <c r="M374" s="143">
        <v>50</v>
      </c>
      <c r="P374" s="4" t="e">
        <f>VLOOKUP(H374,Stock_list!A:Y,25,FALSE)</f>
        <v>#N/A</v>
      </c>
      <c r="T374" s="144"/>
      <c r="U374" s="145" t="e">
        <f>VLOOKUP(H374,Stock_list!A:N,14,FALSE)</f>
        <v>#N/A</v>
      </c>
    </row>
    <row r="375" spans="1:21" ht="16.5" customHeight="1">
      <c r="A375" s="159" t="s">
        <v>264</v>
      </c>
      <c r="B375" s="114" t="str">
        <f>VLOOKUP(A375,'Data pick slip'!B:F,5,FALSE)</f>
        <v>KHJ-MC200-00</v>
      </c>
      <c r="F375" s="157" t="s">
        <v>270</v>
      </c>
      <c r="H375" s="138">
        <v>1955</v>
      </c>
      <c r="I375" s="140" t="e">
        <f>VLOOKUP(H375,Stock_list!A:R,18,FALSE)</f>
        <v>#N/A</v>
      </c>
      <c r="J375" s="139" t="e">
        <f>VLOOKUP(H375,Stock_list!A:S,17,FALSE)</f>
        <v>#N/A</v>
      </c>
      <c r="K375" s="51" t="e">
        <f>VLOOKUP(H375,Stock_list!A:T,16,FALSE)</f>
        <v>#N/A</v>
      </c>
      <c r="L375" s="4">
        <v>45182</v>
      </c>
      <c r="M375" s="143">
        <v>14</v>
      </c>
      <c r="P375" s="4" t="e">
        <f>VLOOKUP(H375,Stock_list!A:Y,25,FALSE)</f>
        <v>#N/A</v>
      </c>
      <c r="T375" s="144"/>
      <c r="U375" s="145" t="e">
        <f>VLOOKUP(H375,Stock_list!A:N,14,FALSE)</f>
        <v>#N/A</v>
      </c>
    </row>
    <row r="376" spans="1:21" ht="16.5" customHeight="1">
      <c r="A376" s="159" t="s">
        <v>265</v>
      </c>
      <c r="B376" s="114" t="str">
        <f>VLOOKUP(A376,'Data pick slip'!B:F,5,FALSE)</f>
        <v>KHJ-MC400-00</v>
      </c>
      <c r="F376" s="157" t="s">
        <v>270</v>
      </c>
      <c r="H376" s="138">
        <v>1955</v>
      </c>
      <c r="I376" s="140" t="e">
        <f>VLOOKUP(H376,Stock_list!A:R,18,FALSE)</f>
        <v>#N/A</v>
      </c>
      <c r="J376" s="139" t="e">
        <f>VLOOKUP(H376,Stock_list!A:S,17,FALSE)</f>
        <v>#N/A</v>
      </c>
      <c r="K376" s="51" t="e">
        <f>VLOOKUP(H376,Stock_list!A:T,16,FALSE)</f>
        <v>#N/A</v>
      </c>
      <c r="L376" s="4">
        <v>45182</v>
      </c>
      <c r="M376" s="143">
        <v>1</v>
      </c>
      <c r="P376" s="4" t="e">
        <f>VLOOKUP(H376,Stock_list!A:Y,25,FALSE)</f>
        <v>#N/A</v>
      </c>
      <c r="T376" s="144"/>
      <c r="U376" s="145" t="e">
        <f>VLOOKUP(H376,Stock_list!A:N,14,FALSE)</f>
        <v>#N/A</v>
      </c>
    </row>
    <row r="377" spans="1:21" ht="16.5" customHeight="1">
      <c r="A377" s="159" t="s">
        <v>264</v>
      </c>
      <c r="B377" s="114" t="str">
        <f>VLOOKUP(A377,'Data pick slip'!B:F,5,FALSE)</f>
        <v>KHJ-MC200-00</v>
      </c>
      <c r="F377" s="157" t="s">
        <v>270</v>
      </c>
      <c r="H377" s="138">
        <v>1974</v>
      </c>
      <c r="I377" s="140" t="e">
        <f>VLOOKUP(H377,Stock_list!A:R,18,FALSE)</f>
        <v>#N/A</v>
      </c>
      <c r="J377" s="139" t="e">
        <f>VLOOKUP(H377,Stock_list!A:S,17,FALSE)</f>
        <v>#N/A</v>
      </c>
      <c r="K377" s="51" t="e">
        <f>VLOOKUP(H377,Stock_list!A:T,16,FALSE)</f>
        <v>#N/A</v>
      </c>
      <c r="L377" s="4">
        <v>45190</v>
      </c>
      <c r="M377" s="140">
        <v>5</v>
      </c>
      <c r="P377" s="4" t="e">
        <f>VLOOKUP(H377,Stock_list!A:Y,25,FALSE)</f>
        <v>#N/A</v>
      </c>
      <c r="Q377" s="143"/>
      <c r="S377" s="268" t="s">
        <v>1596</v>
      </c>
      <c r="T377" s="285" t="s">
        <v>1597</v>
      </c>
      <c r="U377" s="145" t="e">
        <f>VLOOKUP(H377,Stock_list!A:N,14,FALSE)</f>
        <v>#N/A</v>
      </c>
    </row>
    <row r="378" spans="1:21" ht="16.5" customHeight="1">
      <c r="A378" s="159" t="s">
        <v>261</v>
      </c>
      <c r="B378" s="114" t="str">
        <f>VLOOKUP(A378,'Data pick slip'!B:F,5,FALSE)</f>
        <v>KHJ-MC100-00</v>
      </c>
      <c r="F378" s="157" t="s">
        <v>227</v>
      </c>
      <c r="I378" s="390" t="s">
        <v>1429</v>
      </c>
      <c r="J378" s="139" t="s">
        <v>1548</v>
      </c>
      <c r="K378" s="51" t="s">
        <v>225</v>
      </c>
      <c r="L378" s="4">
        <v>45184</v>
      </c>
      <c r="M378" s="140">
        <v>150</v>
      </c>
      <c r="P378" s="4" t="s">
        <v>1549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264</v>
      </c>
      <c r="B379" s="114" t="str">
        <f>VLOOKUP(A379,'Data pick slip'!B:F,5,FALSE)</f>
        <v>KHJ-MC200-00</v>
      </c>
      <c r="F379" s="157" t="s">
        <v>227</v>
      </c>
      <c r="I379" s="390" t="s">
        <v>1429</v>
      </c>
      <c r="J379" s="139" t="s">
        <v>1548</v>
      </c>
      <c r="K379" s="51" t="s">
        <v>225</v>
      </c>
      <c r="L379" s="4">
        <v>45184</v>
      </c>
      <c r="M379" s="140">
        <v>54</v>
      </c>
      <c r="P379" s="4" t="s">
        <v>1549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265</v>
      </c>
      <c r="B380" s="114" t="str">
        <f>VLOOKUP(A380,'Data pick slip'!B:F,5,FALSE)</f>
        <v>KHJ-MC400-00</v>
      </c>
      <c r="F380" s="157" t="s">
        <v>227</v>
      </c>
      <c r="I380" s="390" t="s">
        <v>1429</v>
      </c>
      <c r="J380" s="139" t="s">
        <v>1548</v>
      </c>
      <c r="K380" s="51" t="s">
        <v>225</v>
      </c>
      <c r="L380" s="4">
        <v>45184</v>
      </c>
      <c r="M380" s="140">
        <v>7</v>
      </c>
      <c r="P380" s="4" t="s">
        <v>1549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266</v>
      </c>
      <c r="B381" s="114" t="str">
        <f>VLOOKUP(A381,'Data pick slip'!B:F,5,FALSE)</f>
        <v>KHJ-MC500-00</v>
      </c>
      <c r="F381" s="157" t="s">
        <v>227</v>
      </c>
      <c r="I381" s="390" t="s">
        <v>1429</v>
      </c>
      <c r="J381" s="139" t="s">
        <v>1548</v>
      </c>
      <c r="K381" s="51" t="s">
        <v>225</v>
      </c>
      <c r="L381" s="4">
        <v>45184</v>
      </c>
      <c r="M381" s="140">
        <v>2</v>
      </c>
      <c r="P381" s="4" t="s">
        <v>1549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261</v>
      </c>
      <c r="B382" s="114" t="str">
        <f>VLOOKUP(A382,'Data pick slip'!B:F,5,FALSE)</f>
        <v>KHJ-MC100-00</v>
      </c>
      <c r="F382" s="157" t="s">
        <v>227</v>
      </c>
      <c r="H382" s="138">
        <v>1976</v>
      </c>
      <c r="I382" s="140" t="e">
        <f>VLOOKUP(H382,Stock_list!A:R,18,FALSE)</f>
        <v>#N/A</v>
      </c>
      <c r="J382" s="139" t="e">
        <f>VLOOKUP(H382,Stock_list!A:S,17,FALSE)</f>
        <v>#N/A</v>
      </c>
      <c r="K382" s="51" t="e">
        <f>VLOOKUP(H382,Stock_list!A:T,16,FALSE)</f>
        <v>#N/A</v>
      </c>
      <c r="L382" s="4">
        <v>45189</v>
      </c>
      <c r="M382" s="132">
        <v>300</v>
      </c>
      <c r="P382" s="4" t="e">
        <f>VLOOKUP(H382,Stock_list!A:Y,25,FALSE)</f>
        <v>#N/A</v>
      </c>
      <c r="Q382" s="143"/>
      <c r="T382" s="144"/>
      <c r="U382" s="145" t="e">
        <f>VLOOKUP(H382,Stock_list!A:N,14,FALSE)</f>
        <v>#N/A</v>
      </c>
    </row>
    <row r="383" spans="1:21" ht="16.5" customHeight="1">
      <c r="A383" s="159" t="s">
        <v>264</v>
      </c>
      <c r="B383" s="114" t="str">
        <f>VLOOKUP(A383,'Data pick slip'!B:F,5,FALSE)</f>
        <v>KHJ-MC200-00</v>
      </c>
      <c r="F383" s="157" t="s">
        <v>227</v>
      </c>
      <c r="H383" s="138">
        <v>1976</v>
      </c>
      <c r="I383" s="140" t="e">
        <f>VLOOKUP(H383,Stock_list!A:R,18,FALSE)</f>
        <v>#N/A</v>
      </c>
      <c r="J383" s="139" t="e">
        <f>VLOOKUP(H383,Stock_list!A:S,17,FALSE)</f>
        <v>#N/A</v>
      </c>
      <c r="K383" s="51" t="e">
        <f>VLOOKUP(H383,Stock_list!A:T,16,FALSE)</f>
        <v>#N/A</v>
      </c>
      <c r="L383" s="4">
        <v>45189</v>
      </c>
      <c r="M383" s="132">
        <v>70</v>
      </c>
      <c r="P383" s="4" t="e">
        <f>VLOOKUP(H383,Stock_list!A:Y,25,FALSE)</f>
        <v>#N/A</v>
      </c>
      <c r="Q383" s="143"/>
      <c r="T383" s="144"/>
      <c r="U383" s="145" t="e">
        <f>VLOOKUP(H383,Stock_list!A:N,14,FALSE)</f>
        <v>#N/A</v>
      </c>
    </row>
    <row r="384" spans="1:21" ht="16.5" customHeight="1">
      <c r="A384" s="159" t="s">
        <v>265</v>
      </c>
      <c r="B384" s="114" t="str">
        <f>VLOOKUP(A384,'Data pick slip'!B:F,5,FALSE)</f>
        <v>KHJ-MC400-00</v>
      </c>
      <c r="F384" s="157" t="s">
        <v>270</v>
      </c>
      <c r="H384" s="138">
        <v>1976</v>
      </c>
      <c r="I384" s="140" t="e">
        <f>VLOOKUP(H384,Stock_list!A:R,18,FALSE)</f>
        <v>#N/A</v>
      </c>
      <c r="J384" s="139" t="e">
        <f>VLOOKUP(H384,Stock_list!A:S,17,FALSE)</f>
        <v>#N/A</v>
      </c>
      <c r="K384" s="51" t="e">
        <f>VLOOKUP(H384,Stock_list!A:T,16,FALSE)</f>
        <v>#N/A</v>
      </c>
      <c r="L384" s="4">
        <v>45189</v>
      </c>
      <c r="M384" s="132">
        <v>10</v>
      </c>
      <c r="P384" s="4" t="e">
        <f>VLOOKUP(H384,Stock_list!A:Y,25,FALSE)</f>
        <v>#N/A</v>
      </c>
      <c r="Q384" s="143"/>
      <c r="S384" s="268" t="s">
        <v>1596</v>
      </c>
      <c r="T384" s="285" t="s">
        <v>1597</v>
      </c>
      <c r="U384" s="145" t="e">
        <f>VLOOKUP(H384,Stock_list!A:N,14,FALSE)</f>
        <v>#N/A</v>
      </c>
    </row>
    <row r="385" spans="1:21" ht="16.5" customHeight="1">
      <c r="A385" s="159" t="s">
        <v>266</v>
      </c>
      <c r="B385" s="114" t="str">
        <f>VLOOKUP(A385,'Data pick slip'!B:F,5,FALSE)</f>
        <v>KHJ-MC500-00</v>
      </c>
      <c r="F385" s="157" t="s">
        <v>227</v>
      </c>
      <c r="H385" s="138">
        <v>1976</v>
      </c>
      <c r="I385" s="140" t="e">
        <f>VLOOKUP(H385,Stock_list!A:R,18,FALSE)</f>
        <v>#N/A</v>
      </c>
      <c r="J385" s="139" t="e">
        <f>VLOOKUP(H385,Stock_list!A:S,17,FALSE)</f>
        <v>#N/A</v>
      </c>
      <c r="K385" s="51" t="e">
        <f>VLOOKUP(H385,Stock_list!A:T,16,FALSE)</f>
        <v>#N/A</v>
      </c>
      <c r="L385" s="4">
        <v>45189</v>
      </c>
      <c r="M385" s="132">
        <v>2</v>
      </c>
      <c r="P385" s="4" t="e">
        <f>VLOOKUP(H385,Stock_list!A:Y,25,FALSE)</f>
        <v>#N/A</v>
      </c>
      <c r="Q385" s="143"/>
      <c r="T385" s="144"/>
      <c r="U385" s="145" t="e">
        <f>VLOOKUP(H385,Stock_list!A:N,14,FALSE)</f>
        <v>#N/A</v>
      </c>
    </row>
    <row r="386" spans="1:21" ht="16.5" customHeight="1">
      <c r="A386" s="159" t="s">
        <v>267</v>
      </c>
      <c r="B386" s="114" t="str">
        <f>VLOOKUP(A386,'Data pick slip'!B:F,5,FALSE)</f>
        <v>KHJ-MC600-00</v>
      </c>
      <c r="F386" s="157" t="s">
        <v>227</v>
      </c>
      <c r="H386" s="138">
        <v>1976</v>
      </c>
      <c r="I386" s="140" t="e">
        <f>VLOOKUP(H386,Stock_list!A:R,18,FALSE)</f>
        <v>#N/A</v>
      </c>
      <c r="J386" s="139" t="e">
        <f>VLOOKUP(H386,Stock_list!A:S,17,FALSE)</f>
        <v>#N/A</v>
      </c>
      <c r="K386" s="51" t="e">
        <f>VLOOKUP(H386,Stock_list!A:T,16,FALSE)</f>
        <v>#N/A</v>
      </c>
      <c r="L386" s="4">
        <v>45189</v>
      </c>
      <c r="M386" s="132">
        <v>1</v>
      </c>
      <c r="P386" s="4" t="e">
        <f>VLOOKUP(H386,Stock_list!A:Y,25,FALSE)</f>
        <v>#N/A</v>
      </c>
      <c r="Q386" s="143"/>
      <c r="T386" s="144"/>
      <c r="U386" s="145" t="e">
        <f>VLOOKUP(H386,Stock_list!A:N,14,FALSE)</f>
        <v>#N/A</v>
      </c>
    </row>
    <row r="387" spans="1:21" ht="16.5" customHeight="1">
      <c r="A387" s="159" t="s">
        <v>277</v>
      </c>
      <c r="B387" s="114" t="str">
        <f>VLOOKUP(A387,'Data pick slip'!B:F,5,FALSE)</f>
        <v>KLJ-MC700-00</v>
      </c>
      <c r="F387" s="157" t="s">
        <v>270</v>
      </c>
      <c r="H387" s="138" t="s">
        <v>1508</v>
      </c>
      <c r="I387" s="140">
        <v>66</v>
      </c>
      <c r="J387" s="267" t="s">
        <v>1594</v>
      </c>
      <c r="K387" s="51" t="s">
        <v>1592</v>
      </c>
      <c r="L387" s="4">
        <v>45189</v>
      </c>
      <c r="M387" s="140">
        <v>1</v>
      </c>
      <c r="P387" s="4" t="s">
        <v>1518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277</v>
      </c>
      <c r="B388" s="114" t="str">
        <f>VLOOKUP(A388,'Data pick slip'!B:F,5,FALSE)</f>
        <v>KLJ-MC700-00</v>
      </c>
      <c r="F388" s="157" t="s">
        <v>227</v>
      </c>
      <c r="H388" s="138" t="s">
        <v>1508</v>
      </c>
      <c r="I388" s="390" t="s">
        <v>1429</v>
      </c>
      <c r="J388" s="139" t="s">
        <v>1595</v>
      </c>
      <c r="K388" s="51" t="s">
        <v>225</v>
      </c>
      <c r="L388" s="4">
        <v>45188</v>
      </c>
      <c r="M388" s="140">
        <v>1</v>
      </c>
      <c r="P388" s="4" t="s">
        <v>1593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261</v>
      </c>
      <c r="B389" s="114" t="str">
        <f>VLOOKUP(A389,'Data pick slip'!B:F,5,FALSE)</f>
        <v>KHJ-MC100-00</v>
      </c>
      <c r="F389" s="157" t="s">
        <v>227</v>
      </c>
      <c r="H389" s="138">
        <v>1981</v>
      </c>
      <c r="I389" s="140" t="e">
        <f>VLOOKUP(H389,Stock_list!A:R,18,FALSE)</f>
        <v>#N/A</v>
      </c>
      <c r="J389" s="139" t="e">
        <f>VLOOKUP(H389,Stock_list!A:S,17,FALSE)</f>
        <v>#N/A</v>
      </c>
      <c r="K389" s="51" t="e">
        <f>VLOOKUP(H389,Stock_list!A:T,16,FALSE)</f>
        <v>#N/A</v>
      </c>
      <c r="L389" s="4">
        <v>45225</v>
      </c>
      <c r="M389" s="140">
        <v>14</v>
      </c>
      <c r="P389" s="4" t="e">
        <f>VLOOKUP(H389,Stock_list!A:Y,25,FALSE)</f>
        <v>#N/A</v>
      </c>
      <c r="Q389" s="143"/>
      <c r="T389" s="144"/>
      <c r="U389" s="145" t="e">
        <f>VLOOKUP(H389,Stock_list!A:N,14,FALSE)</f>
        <v>#N/A</v>
      </c>
    </row>
    <row r="390" spans="1:21" ht="16.5" customHeight="1">
      <c r="A390" s="159" t="s">
        <v>266</v>
      </c>
      <c r="B390" s="114" t="str">
        <f>VLOOKUP(A390,'Data pick slip'!B:F,5,FALSE)</f>
        <v>KHJ-MC500-00</v>
      </c>
      <c r="F390" s="157" t="s">
        <v>227</v>
      </c>
      <c r="H390" s="138">
        <v>1981</v>
      </c>
      <c r="I390" s="140" t="e">
        <f>VLOOKUP(H390,Stock_list!A:R,18,FALSE)</f>
        <v>#N/A</v>
      </c>
      <c r="J390" s="139" t="e">
        <f>VLOOKUP(H390,Stock_list!A:S,17,FALSE)</f>
        <v>#N/A</v>
      </c>
      <c r="K390" s="51" t="e">
        <f>VLOOKUP(H390,Stock_list!A:T,16,FALSE)</f>
        <v>#N/A</v>
      </c>
      <c r="L390" s="4">
        <v>45225</v>
      </c>
      <c r="M390" s="140">
        <v>2</v>
      </c>
      <c r="P390" s="4" t="e">
        <f>VLOOKUP(H390,Stock_list!A:Y,25,FALSE)</f>
        <v>#N/A</v>
      </c>
      <c r="Q390" s="143"/>
      <c r="T390" s="144"/>
      <c r="U390" s="145" t="e">
        <f>VLOOKUP(H390,Stock_list!A:N,14,FALSE)</f>
        <v>#N/A</v>
      </c>
    </row>
    <row r="391" spans="1:21" ht="16.5" customHeight="1">
      <c r="A391" s="159" t="s">
        <v>273</v>
      </c>
      <c r="B391" s="114" t="str">
        <f>VLOOKUP(A391,'Data pick slip'!B:F,5,FALSE)</f>
        <v>KLJ-MC200-00</v>
      </c>
      <c r="F391" s="157" t="s">
        <v>227</v>
      </c>
      <c r="H391" s="138" t="s">
        <v>1598</v>
      </c>
      <c r="I391" s="140">
        <v>66</v>
      </c>
      <c r="J391" s="267" t="s">
        <v>1599</v>
      </c>
      <c r="K391" s="51" t="s">
        <v>1600</v>
      </c>
      <c r="L391" s="4">
        <v>45191</v>
      </c>
      <c r="M391" s="140">
        <v>1</v>
      </c>
      <c r="P391" s="4" t="s">
        <v>1517</v>
      </c>
      <c r="Q391" s="143"/>
      <c r="S391" s="544" t="s">
        <v>1733</v>
      </c>
      <c r="T391" s="144"/>
      <c r="U391" s="145" t="e">
        <f>VLOOKUP(H391,Stock_list!A:N,14,FALSE)</f>
        <v>#N/A</v>
      </c>
    </row>
    <row r="392" spans="1:21" ht="16.5" customHeight="1">
      <c r="A392" s="159" t="s">
        <v>261</v>
      </c>
      <c r="B392" s="114" t="str">
        <f>VLOOKUP(A392,'Data pick slip'!B:F,5,FALSE)</f>
        <v>KHJ-MC100-00</v>
      </c>
      <c r="F392" s="157" t="s">
        <v>270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 t="str">
        <f>VLOOKUP(H392,Stock_list!A:N,14,FALSE)</f>
        <v>FEB 24</v>
      </c>
    </row>
    <row r="393" spans="1:21" ht="16.5" customHeight="1">
      <c r="A393" s="159" t="s">
        <v>264</v>
      </c>
      <c r="B393" s="114" t="str">
        <f>VLOOKUP(A393,'Data pick slip'!B:F,5,FALSE)</f>
        <v>KHJ-MC200-00</v>
      </c>
      <c r="F393" s="157" t="s">
        <v>270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 t="str">
        <f>VLOOKUP(H393,Stock_list!A:N,14,FALSE)</f>
        <v>FEB 24</v>
      </c>
    </row>
    <row r="394" spans="1:21" ht="16.5" customHeight="1">
      <c r="A394" s="159" t="s">
        <v>265</v>
      </c>
      <c r="B394" s="114" t="str">
        <f>VLOOKUP(A394,'Data pick slip'!B:F,5,FALSE)</f>
        <v>KHJ-MC400-00</v>
      </c>
      <c r="F394" s="157" t="s">
        <v>270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 t="str">
        <f>VLOOKUP(H394,Stock_list!A:N,14,FALSE)</f>
        <v>FEB 24</v>
      </c>
    </row>
    <row r="395" spans="1:21" ht="16.5" customHeight="1">
      <c r="A395" s="159" t="s">
        <v>266</v>
      </c>
      <c r="B395" s="114" t="str">
        <f>VLOOKUP(A395,'Data pick slip'!B:F,5,FALSE)</f>
        <v>KHJ-MC500-00</v>
      </c>
      <c r="F395" s="157" t="s">
        <v>270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 t="str">
        <f>VLOOKUP(H395,Stock_list!A:N,14,FALSE)</f>
        <v>FEB 24</v>
      </c>
    </row>
    <row r="396" spans="1:21" ht="16.5" customHeight="1">
      <c r="A396" s="159" t="s">
        <v>267</v>
      </c>
      <c r="B396" s="114" t="str">
        <f>VLOOKUP(A396,'Data pick slip'!B:F,5,FALSE)</f>
        <v>KHJ-MC600-00</v>
      </c>
      <c r="F396" s="157" t="s">
        <v>270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 t="str">
        <f>VLOOKUP(H396,Stock_list!A:N,14,FALSE)</f>
        <v>FEB 24</v>
      </c>
    </row>
    <row r="397" spans="1:21" ht="16.5" customHeight="1">
      <c r="A397" s="159" t="s">
        <v>268</v>
      </c>
      <c r="B397" s="114" t="str">
        <f>VLOOKUP(A397,'Data pick slip'!B:F,5,FALSE)</f>
        <v>KHJ-MC700-00</v>
      </c>
      <c r="F397" s="157" t="s">
        <v>270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 t="str">
        <f>VLOOKUP(H397,Stock_list!A:N,14,FALSE)</f>
        <v>FEB 24</v>
      </c>
    </row>
    <row r="398" spans="1:21" ht="16.5" customHeight="1">
      <c r="A398" s="159" t="s">
        <v>274</v>
      </c>
      <c r="B398" s="114" t="str">
        <f>VLOOKUP(A398,'Data pick slip'!B:F,5,FALSE)</f>
        <v>KLJ-MC400-00</v>
      </c>
      <c r="F398" s="157" t="s">
        <v>270</v>
      </c>
      <c r="H398" s="138" t="s">
        <v>1648</v>
      </c>
      <c r="I398" s="140">
        <v>66</v>
      </c>
      <c r="J398" s="267" t="s">
        <v>1650</v>
      </c>
      <c r="K398" s="51" t="s">
        <v>1649</v>
      </c>
      <c r="L398" s="4">
        <v>45197</v>
      </c>
      <c r="M398" s="140">
        <v>1</v>
      </c>
      <c r="P398" s="4" t="s">
        <v>1517</v>
      </c>
      <c r="Q398" s="143"/>
      <c r="S398" s="123" t="s">
        <v>1651</v>
      </c>
      <c r="T398" s="144"/>
      <c r="U398" s="145" t="e">
        <f>VLOOKUP(H398,Stock_list!A:N,14,FALSE)</f>
        <v>#N/A</v>
      </c>
    </row>
    <row r="399" spans="1:21" ht="16.5" customHeight="1">
      <c r="A399" s="159" t="s">
        <v>272</v>
      </c>
      <c r="B399" s="114" t="str">
        <f>VLOOKUP(A399,'Data pick slip'!B:F,5,FALSE)</f>
        <v>KLJ-MC100-00</v>
      </c>
      <c r="F399" s="157" t="s">
        <v>270</v>
      </c>
      <c r="H399" s="138" t="s">
        <v>1648</v>
      </c>
      <c r="I399" s="140">
        <v>66</v>
      </c>
      <c r="J399" s="139" t="s">
        <v>1652</v>
      </c>
      <c r="K399" s="51" t="s">
        <v>1653</v>
      </c>
      <c r="L399" s="4">
        <v>45206</v>
      </c>
      <c r="M399" s="140">
        <v>30</v>
      </c>
      <c r="P399" s="4" t="s">
        <v>1708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273</v>
      </c>
      <c r="B400" s="114" t="str">
        <f>VLOOKUP(A400,'Data pick slip'!B:F,5,FALSE)</f>
        <v>KLJ-MC200-00</v>
      </c>
      <c r="F400" s="157" t="s">
        <v>270</v>
      </c>
      <c r="H400" s="138" t="s">
        <v>1648</v>
      </c>
      <c r="I400" s="140">
        <v>66</v>
      </c>
      <c r="J400" s="139" t="s">
        <v>1652</v>
      </c>
      <c r="K400" s="51" t="s">
        <v>1653</v>
      </c>
      <c r="L400" s="4">
        <v>45206</v>
      </c>
      <c r="M400" s="140">
        <v>3</v>
      </c>
      <c r="P400" s="4" t="s">
        <v>1708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274</v>
      </c>
      <c r="B401" s="114" t="str">
        <f>VLOOKUP(A401,'Data pick slip'!B:F,5,FALSE)</f>
        <v>KLJ-MC400-00</v>
      </c>
      <c r="F401" s="157" t="s">
        <v>270</v>
      </c>
      <c r="H401" s="138" t="s">
        <v>1648</v>
      </c>
      <c r="I401" s="140">
        <v>66</v>
      </c>
      <c r="J401" s="139" t="s">
        <v>1652</v>
      </c>
      <c r="K401" s="51" t="s">
        <v>1653</v>
      </c>
      <c r="L401" s="4">
        <v>45206</v>
      </c>
      <c r="M401" s="140">
        <v>3</v>
      </c>
      <c r="P401" s="4" t="s">
        <v>1708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272</v>
      </c>
      <c r="B402" s="114" t="str">
        <f>VLOOKUP(A402,'Data pick slip'!B:F,5,FALSE)</f>
        <v>KLJ-MC100-00</v>
      </c>
      <c r="F402" s="157" t="s">
        <v>270</v>
      </c>
      <c r="H402" s="138" t="s">
        <v>1682</v>
      </c>
      <c r="I402" s="140">
        <v>66</v>
      </c>
      <c r="J402" s="270" t="s">
        <v>1681</v>
      </c>
      <c r="K402" s="51" t="s">
        <v>225</v>
      </c>
      <c r="L402" s="4">
        <v>45208</v>
      </c>
      <c r="M402" s="140">
        <v>9</v>
      </c>
      <c r="P402" s="4" t="s">
        <v>1518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274</v>
      </c>
      <c r="B403" s="114" t="str">
        <f>VLOOKUP(A403,'Data pick slip'!B:F,5,FALSE)</f>
        <v>KLJ-MC400-00</v>
      </c>
      <c r="F403" s="157" t="s">
        <v>270</v>
      </c>
      <c r="H403" s="138" t="s">
        <v>1682</v>
      </c>
      <c r="I403" s="140">
        <v>66</v>
      </c>
      <c r="J403" s="270" t="s">
        <v>1681</v>
      </c>
      <c r="K403" s="51" t="s">
        <v>225</v>
      </c>
      <c r="L403" s="4">
        <v>45208</v>
      </c>
      <c r="M403" s="140">
        <v>1</v>
      </c>
      <c r="P403" s="4" t="s">
        <v>1518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273</v>
      </c>
      <c r="B404" s="114" t="str">
        <f>VLOOKUP(A404,'Data pick slip'!B:F,5,FALSE)</f>
        <v>KLJ-MC200-00</v>
      </c>
      <c r="F404" s="157" t="s">
        <v>270</v>
      </c>
      <c r="H404" s="138" t="s">
        <v>1508</v>
      </c>
      <c r="I404" s="140">
        <v>66</v>
      </c>
      <c r="J404" t="s">
        <v>1684</v>
      </c>
      <c r="K404" s="51" t="s">
        <v>225</v>
      </c>
      <c r="L404" s="4">
        <v>45209</v>
      </c>
      <c r="M404" s="140">
        <v>5</v>
      </c>
      <c r="P404" s="4" t="s">
        <v>1518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272</v>
      </c>
      <c r="B405" s="281" t="str">
        <f>VLOOKUP(A405,'Data pick slip'!B:F,5,FALSE)</f>
        <v>KLJ-MC100-00</v>
      </c>
      <c r="F405" s="157" t="s">
        <v>227</v>
      </c>
      <c r="I405" s="390" t="s">
        <v>1429</v>
      </c>
      <c r="J405" s="139" t="s">
        <v>1595</v>
      </c>
      <c r="K405" s="51" t="s">
        <v>1699</v>
      </c>
      <c r="L405" s="4">
        <v>45222</v>
      </c>
      <c r="M405" s="140">
        <v>9</v>
      </c>
      <c r="P405" s="4" t="s">
        <v>214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274</v>
      </c>
      <c r="B406" s="281" t="str">
        <f>VLOOKUP(A406,'Data pick slip'!B:F,5,FALSE)</f>
        <v>KLJ-MC400-00</v>
      </c>
      <c r="F406" s="157" t="s">
        <v>227</v>
      </c>
      <c r="I406" s="390" t="s">
        <v>1429</v>
      </c>
      <c r="J406" s="139" t="s">
        <v>1595</v>
      </c>
      <c r="K406" s="51" t="s">
        <v>1699</v>
      </c>
      <c r="L406" s="4">
        <v>45222</v>
      </c>
      <c r="M406" s="140">
        <f>1+4</f>
        <v>5</v>
      </c>
      <c r="P406" s="4" t="s">
        <v>214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273</v>
      </c>
      <c r="B407" s="281" t="str">
        <f>VLOOKUP(A407,'Data pick slip'!B:F,5,FALSE)</f>
        <v>KLJ-MC200-00</v>
      </c>
      <c r="F407" s="157" t="s">
        <v>227</v>
      </c>
      <c r="I407" s="390" t="s">
        <v>1429</v>
      </c>
      <c r="J407" s="139" t="s">
        <v>1595</v>
      </c>
      <c r="K407" s="51" t="s">
        <v>1699</v>
      </c>
      <c r="L407" s="4">
        <v>45222</v>
      </c>
      <c r="M407" s="140">
        <v>5</v>
      </c>
      <c r="P407" s="4" t="s">
        <v>214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274</v>
      </c>
      <c r="B408" s="114" t="str">
        <f>VLOOKUP(A408,'Data pick slip'!B:F,5,FALSE)</f>
        <v>KLJ-MC400-00</v>
      </c>
      <c r="F408" s="157" t="s">
        <v>270</v>
      </c>
      <c r="H408" s="138" t="s">
        <v>1693</v>
      </c>
      <c r="I408" s="140">
        <v>66</v>
      </c>
      <c r="J408" s="267" t="s">
        <v>1695</v>
      </c>
      <c r="K408" s="51" t="s">
        <v>1694</v>
      </c>
      <c r="L408" s="4">
        <v>45215</v>
      </c>
      <c r="M408" s="140">
        <v>4</v>
      </c>
      <c r="P408" s="4" t="s">
        <v>1518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261</v>
      </c>
      <c r="B409" s="114" t="str">
        <f>VLOOKUP(A409,'Data pick slip'!B:F,5,FALSE)</f>
        <v>KHJ-MC100-00</v>
      </c>
      <c r="F409" s="157" t="s">
        <v>227</v>
      </c>
      <c r="H409" s="138" t="s">
        <v>1701</v>
      </c>
      <c r="I409" s="140">
        <v>66</v>
      </c>
      <c r="J409" s="267" t="s">
        <v>1700</v>
      </c>
      <c r="K409" s="51" t="s">
        <v>1702</v>
      </c>
      <c r="L409" s="4">
        <v>45223</v>
      </c>
      <c r="M409" s="140">
        <v>2</v>
      </c>
      <c r="P409" s="4" t="s">
        <v>1517</v>
      </c>
      <c r="Q409" s="143"/>
      <c r="S409" s="544" t="s">
        <v>1733</v>
      </c>
      <c r="T409" s="144"/>
      <c r="U409" s="145" t="e">
        <f>VLOOKUP(H409,Stock_list!A:N,14,FALSE)</f>
        <v>#N/A</v>
      </c>
    </row>
    <row r="410" spans="1:21" ht="16.5" customHeight="1">
      <c r="A410" s="159" t="s">
        <v>261</v>
      </c>
      <c r="B410" s="114" t="str">
        <f>VLOOKUP(A410,'Data pick slip'!B:F,5,FALSE)</f>
        <v>KHJ-MC100-00</v>
      </c>
      <c r="F410" s="157" t="s">
        <v>227</v>
      </c>
      <c r="H410" s="138">
        <v>1998</v>
      </c>
      <c r="I410" s="140" t="e">
        <f>VLOOKUP(H410,Stock_list!A:R,18,FALSE)</f>
        <v>#N/A</v>
      </c>
      <c r="J410" s="139" t="e">
        <f>VLOOKUP(H410,Stock_list!A:S,17,FALSE)</f>
        <v>#N/A</v>
      </c>
      <c r="K410" s="51" t="e">
        <f>VLOOKUP(H410,Stock_list!A:T,16,FALSE)</f>
        <v>#N/A</v>
      </c>
      <c r="L410" s="291">
        <v>45236</v>
      </c>
      <c r="M410" s="143">
        <v>60</v>
      </c>
      <c r="P410" s="4" t="e">
        <f>VLOOKUP(H410,Stock_list!A:Y,25,FALSE)</f>
        <v>#N/A</v>
      </c>
      <c r="T410" s="144"/>
      <c r="U410" s="145" t="e">
        <f>VLOOKUP(H410,Stock_list!A:N,14,FALSE)</f>
        <v>#N/A</v>
      </c>
    </row>
    <row r="411" spans="1:21" ht="16.5" customHeight="1">
      <c r="A411" s="159" t="s">
        <v>264</v>
      </c>
      <c r="B411" s="114" t="str">
        <f>VLOOKUP(A411,'Data pick slip'!B:F,5,FALSE)</f>
        <v>KHJ-MC200-00</v>
      </c>
      <c r="F411" s="157" t="s">
        <v>227</v>
      </c>
      <c r="H411" s="138">
        <v>1998</v>
      </c>
      <c r="I411" s="140" t="e">
        <f>VLOOKUP(H411,Stock_list!A:R,18,FALSE)</f>
        <v>#N/A</v>
      </c>
      <c r="J411" s="139" t="e">
        <f>VLOOKUP(H411,Stock_list!A:S,17,FALSE)</f>
        <v>#N/A</v>
      </c>
      <c r="K411" s="51" t="e">
        <f>VLOOKUP(H411,Stock_list!A:T,16,FALSE)</f>
        <v>#N/A</v>
      </c>
      <c r="L411" s="291">
        <v>45236</v>
      </c>
      <c r="M411" s="143">
        <v>10</v>
      </c>
      <c r="P411" s="4" t="e">
        <f>VLOOKUP(H411,Stock_list!A:Y,25,FALSE)</f>
        <v>#N/A</v>
      </c>
      <c r="T411" s="144"/>
      <c r="U411" s="145" t="e">
        <f>VLOOKUP(H411,Stock_list!A:N,14,FALSE)</f>
        <v>#N/A</v>
      </c>
    </row>
    <row r="412" spans="1:21" ht="16.5" customHeight="1">
      <c r="A412" s="159" t="s">
        <v>266</v>
      </c>
      <c r="B412" s="114" t="str">
        <f>VLOOKUP(A412,'Data pick slip'!B:F,5,FALSE)</f>
        <v>KHJ-MC500-00</v>
      </c>
      <c r="F412" s="157" t="s">
        <v>227</v>
      </c>
      <c r="H412" s="138">
        <v>1998</v>
      </c>
      <c r="I412" s="140" t="e">
        <f>VLOOKUP(H412,Stock_list!A:R,18,FALSE)</f>
        <v>#N/A</v>
      </c>
      <c r="J412" s="139" t="e">
        <f>VLOOKUP(H412,Stock_list!A:S,17,FALSE)</f>
        <v>#N/A</v>
      </c>
      <c r="K412" s="51" t="e">
        <f>VLOOKUP(H412,Stock_list!A:T,16,FALSE)</f>
        <v>#N/A</v>
      </c>
      <c r="L412" s="291">
        <v>45236</v>
      </c>
      <c r="M412" s="143">
        <v>1</v>
      </c>
      <c r="P412" s="4" t="e">
        <f>VLOOKUP(H412,Stock_list!A:Y,25,FALSE)</f>
        <v>#N/A</v>
      </c>
      <c r="T412" s="144"/>
      <c r="U412" s="145" t="e">
        <f>VLOOKUP(H412,Stock_list!A:N,14,FALSE)</f>
        <v>#N/A</v>
      </c>
    </row>
    <row r="413" spans="1:21" ht="16.5" customHeight="1">
      <c r="A413" s="159" t="s">
        <v>267</v>
      </c>
      <c r="B413" s="114" t="str">
        <f>VLOOKUP(A413,'Data pick slip'!B:F,5,FALSE)</f>
        <v>KHJ-MC600-00</v>
      </c>
      <c r="F413" s="157" t="s">
        <v>227</v>
      </c>
      <c r="H413" s="138">
        <v>1998</v>
      </c>
      <c r="I413" s="140" t="e">
        <f>VLOOKUP(H413,Stock_list!A:R,18,FALSE)</f>
        <v>#N/A</v>
      </c>
      <c r="J413" s="139" t="e">
        <f>VLOOKUP(H413,Stock_list!A:S,17,FALSE)</f>
        <v>#N/A</v>
      </c>
      <c r="K413" s="51" t="e">
        <f>VLOOKUP(H413,Stock_list!A:T,16,FALSE)</f>
        <v>#N/A</v>
      </c>
      <c r="L413" s="291">
        <v>45236</v>
      </c>
      <c r="M413" s="143">
        <v>1</v>
      </c>
      <c r="P413" s="4" t="e">
        <f>VLOOKUP(H413,Stock_list!A:Y,25,FALSE)</f>
        <v>#N/A</v>
      </c>
      <c r="T413" s="144"/>
      <c r="U413" s="145" t="e">
        <f>VLOOKUP(H413,Stock_list!A:N,14,FALSE)</f>
        <v>#N/A</v>
      </c>
    </row>
    <row r="414" spans="1:21" ht="16.5" customHeight="1">
      <c r="A414" s="159" t="s">
        <v>272</v>
      </c>
      <c r="B414" s="114" t="str">
        <f>VLOOKUP(A414,'Data pick slip'!B:F,5,FALSE)</f>
        <v>KLJ-MC100-00</v>
      </c>
      <c r="F414" s="157" t="s">
        <v>270</v>
      </c>
      <c r="H414" s="138" t="s">
        <v>1705</v>
      </c>
      <c r="I414" s="140">
        <v>66</v>
      </c>
      <c r="J414" s="267" t="s">
        <v>1706</v>
      </c>
      <c r="K414" s="51" t="s">
        <v>1707</v>
      </c>
      <c r="L414" s="4">
        <v>45229</v>
      </c>
      <c r="M414" s="140">
        <v>20</v>
      </c>
      <c r="P414" s="4" t="s">
        <v>1708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273</v>
      </c>
      <c r="B415" s="114" t="str">
        <f>VLOOKUP(A415,'Data pick slip'!B:F,5,FALSE)</f>
        <v>KLJ-MC200-00</v>
      </c>
      <c r="F415" s="157" t="s">
        <v>270</v>
      </c>
      <c r="H415" s="138" t="s">
        <v>1705</v>
      </c>
      <c r="I415" s="140">
        <v>66</v>
      </c>
      <c r="J415" s="267" t="s">
        <v>1706</v>
      </c>
      <c r="K415" s="51" t="s">
        <v>1707</v>
      </c>
      <c r="L415" s="4">
        <v>45229</v>
      </c>
      <c r="M415" s="140">
        <v>8</v>
      </c>
      <c r="P415" s="4" t="s">
        <v>1708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274</v>
      </c>
      <c r="B416" s="114" t="str">
        <f>VLOOKUP(A416,'Data pick slip'!B:F,5,FALSE)</f>
        <v>KLJ-MC400-00</v>
      </c>
      <c r="F416" s="157" t="s">
        <v>270</v>
      </c>
      <c r="H416" s="138" t="s">
        <v>1705</v>
      </c>
      <c r="I416" s="140">
        <v>66</v>
      </c>
      <c r="J416" s="267" t="s">
        <v>1706</v>
      </c>
      <c r="K416" s="51" t="s">
        <v>1707</v>
      </c>
      <c r="L416" s="4">
        <v>45229</v>
      </c>
      <c r="M416" s="140">
        <v>4</v>
      </c>
      <c r="P416" s="4" t="s">
        <v>1708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261</v>
      </c>
      <c r="B417" s="114" t="str">
        <f>VLOOKUP(A417,'Data pick slip'!B:F,5,FALSE)</f>
        <v>KHJ-MC100-00</v>
      </c>
      <c r="F417" s="157" t="s">
        <v>270</v>
      </c>
      <c r="I417" s="140" t="s">
        <v>1709</v>
      </c>
      <c r="J417" s="269" t="s">
        <v>1711</v>
      </c>
      <c r="K417" s="51" t="s">
        <v>1707</v>
      </c>
      <c r="L417" s="4">
        <v>45229</v>
      </c>
      <c r="O417" s="132">
        <f>1-1</f>
        <v>0</v>
      </c>
      <c r="P417" s="4" t="s">
        <v>1710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272</v>
      </c>
      <c r="B418" s="114" t="str">
        <f>VLOOKUP(A418,'Data pick slip'!B:F,5,FALSE)</f>
        <v>KLJ-MC100-00</v>
      </c>
      <c r="F418" s="157" t="s">
        <v>270</v>
      </c>
      <c r="I418" s="140" t="s">
        <v>1709</v>
      </c>
      <c r="J418" s="269" t="s">
        <v>1711</v>
      </c>
      <c r="K418" s="51" t="s">
        <v>225</v>
      </c>
      <c r="L418" s="4">
        <v>45229</v>
      </c>
      <c r="O418" s="132">
        <f>30-30</f>
        <v>0</v>
      </c>
      <c r="P418" s="4" t="s">
        <v>214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274</v>
      </c>
      <c r="B419" s="114" t="str">
        <f>VLOOKUP(A419,'Data pick slip'!B:F,5,FALSE)</f>
        <v>KLJ-MC400-00</v>
      </c>
      <c r="F419" s="157" t="s">
        <v>270</v>
      </c>
      <c r="H419" s="138" t="s">
        <v>1713</v>
      </c>
      <c r="I419" s="140">
        <v>66</v>
      </c>
      <c r="J419" s="267" t="s">
        <v>1712</v>
      </c>
      <c r="K419" s="51" t="s">
        <v>1714</v>
      </c>
      <c r="L419" s="4">
        <v>45231</v>
      </c>
      <c r="M419" s="140">
        <v>1</v>
      </c>
      <c r="P419" s="4" t="s">
        <v>1715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261</v>
      </c>
      <c r="B420" s="114" t="str">
        <f>VLOOKUP(A420,'Data pick slip'!B:F,5,FALSE)</f>
        <v>KHJ-MC100-00</v>
      </c>
      <c r="F420" s="157" t="s">
        <v>270</v>
      </c>
      <c r="H420" s="138" t="s">
        <v>1717</v>
      </c>
      <c r="I420" s="140">
        <v>66</v>
      </c>
      <c r="J420" s="139" t="s">
        <v>1718</v>
      </c>
      <c r="K420" s="51" t="s">
        <v>1719</v>
      </c>
      <c r="L420" s="4">
        <v>45233</v>
      </c>
      <c r="M420" s="140">
        <v>30</v>
      </c>
      <c r="P420" s="4" t="s">
        <v>1720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267</v>
      </c>
      <c r="B421" s="114" t="str">
        <f>VLOOKUP(A421,'Data pick slip'!B:F,5,FALSE)</f>
        <v>KHJ-MC600-00</v>
      </c>
      <c r="F421" s="157" t="s">
        <v>270</v>
      </c>
      <c r="H421" s="138" t="s">
        <v>1717</v>
      </c>
      <c r="I421" s="140">
        <v>66</v>
      </c>
      <c r="J421" s="139" t="s">
        <v>1718</v>
      </c>
      <c r="K421" s="51" t="s">
        <v>1719</v>
      </c>
      <c r="L421" s="4">
        <v>45233</v>
      </c>
      <c r="M421" s="140">
        <v>1</v>
      </c>
      <c r="P421" s="4" t="s">
        <v>1720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264</v>
      </c>
      <c r="B422" s="114" t="str">
        <f>VLOOKUP(A422,'Data pick slip'!B:F,5,FALSE)</f>
        <v>KHJ-MC200-00</v>
      </c>
      <c r="F422" s="157" t="s">
        <v>270</v>
      </c>
      <c r="H422" s="138" t="s">
        <v>1722</v>
      </c>
      <c r="I422" s="140">
        <v>66</v>
      </c>
      <c r="J422" s="139" t="s">
        <v>1721</v>
      </c>
      <c r="K422" s="51" t="s">
        <v>1719</v>
      </c>
      <c r="L422" s="4">
        <v>45232</v>
      </c>
      <c r="M422" s="140">
        <v>5</v>
      </c>
      <c r="P422" s="4" t="s">
        <v>1720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265</v>
      </c>
      <c r="B423" s="114" t="str">
        <f>VLOOKUP(A423,'Data pick slip'!B:F,5,FALSE)</f>
        <v>KHJ-MC400-00</v>
      </c>
      <c r="F423" s="157" t="s">
        <v>270</v>
      </c>
      <c r="H423" s="138" t="s">
        <v>1722</v>
      </c>
      <c r="I423" s="140">
        <v>66</v>
      </c>
      <c r="J423" s="139" t="s">
        <v>1721</v>
      </c>
      <c r="K423" s="51" t="s">
        <v>1719</v>
      </c>
      <c r="L423" s="4">
        <v>45232</v>
      </c>
      <c r="M423" s="140">
        <v>5</v>
      </c>
      <c r="P423" s="4" t="s">
        <v>1720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261</v>
      </c>
      <c r="B424" s="114" t="str">
        <f>VLOOKUP(A424,'Data pick slip'!B:F,5,FALSE)</f>
        <v>KHJ-MC100-00</v>
      </c>
      <c r="F424" s="157" t="s">
        <v>270</v>
      </c>
      <c r="H424" s="138">
        <v>1999</v>
      </c>
      <c r="I424" s="140" t="e">
        <f>VLOOKUP(H424,Stock_list!A:R,18,FALSE)</f>
        <v>#N/A</v>
      </c>
      <c r="J424" s="139" t="e">
        <f>VLOOKUP(H424,Stock_list!A:S,17,FALSE)</f>
        <v>#N/A</v>
      </c>
      <c r="K424" s="51" t="e">
        <f>VLOOKUP(H424,Stock_list!A:T,16,FALSE)</f>
        <v>#N/A</v>
      </c>
      <c r="L424" s="4">
        <v>45251</v>
      </c>
      <c r="M424" s="140">
        <v>10</v>
      </c>
      <c r="P424" s="4" t="e">
        <f>VLOOKUP(H424,Stock_list!A:Y,25,FALSE)</f>
        <v>#N/A</v>
      </c>
      <c r="Q424" s="143"/>
      <c r="T424" s="144"/>
      <c r="U424" s="145" t="e">
        <f>VLOOKUP(H424,Stock_list!A:N,14,FALSE)</f>
        <v>#N/A</v>
      </c>
    </row>
    <row r="425" spans="1:21" ht="16.5" customHeight="1">
      <c r="A425" s="159" t="s">
        <v>261</v>
      </c>
      <c r="B425" s="114" t="str">
        <f>VLOOKUP(A425,'Data pick slip'!B:F,5,FALSE)</f>
        <v>KHJ-MC100-00</v>
      </c>
      <c r="F425" s="157" t="s">
        <v>227</v>
      </c>
      <c r="H425" s="138">
        <v>2017</v>
      </c>
      <c r="I425" s="140" t="e">
        <f>VLOOKUP(H425,Stock_list!A:R,18,FALSE)</f>
        <v>#N/A</v>
      </c>
      <c r="J425" s="139" t="e">
        <f>VLOOKUP(H425,Stock_list!A:S,17,FALSE)</f>
        <v>#N/A</v>
      </c>
      <c r="K425" s="51" t="e">
        <f>VLOOKUP(H425,Stock_list!A:T,16,FALSE)</f>
        <v>#N/A</v>
      </c>
      <c r="L425" s="4">
        <v>45323</v>
      </c>
      <c r="M425" s="143">
        <v>120</v>
      </c>
      <c r="P425" s="4" t="e">
        <f>VLOOKUP(H425,Stock_list!A:Y,25,FALSE)</f>
        <v>#N/A</v>
      </c>
      <c r="T425" s="144"/>
      <c r="U425" s="145" t="e">
        <f>VLOOKUP(H425,Stock_list!A:N,14,FALSE)</f>
        <v>#N/A</v>
      </c>
    </row>
    <row r="426" spans="1:21" ht="16.5" customHeight="1">
      <c r="A426" s="159" t="s">
        <v>264</v>
      </c>
      <c r="B426" s="114" t="str">
        <f>VLOOKUP(A426,'Data pick slip'!B:F,5,FALSE)</f>
        <v>KHJ-MC200-00</v>
      </c>
      <c r="F426" s="157" t="s">
        <v>227</v>
      </c>
      <c r="H426" s="138">
        <v>2017</v>
      </c>
      <c r="I426" s="140" t="e">
        <f>VLOOKUP(H426,Stock_list!A:R,18,FALSE)</f>
        <v>#N/A</v>
      </c>
      <c r="J426" s="139" t="e">
        <f>VLOOKUP(H426,Stock_list!A:S,17,FALSE)</f>
        <v>#N/A</v>
      </c>
      <c r="K426" s="51" t="e">
        <f>VLOOKUP(H426,Stock_list!A:T,16,FALSE)</f>
        <v>#N/A</v>
      </c>
      <c r="L426" s="4">
        <v>45323</v>
      </c>
      <c r="M426" s="143">
        <v>11</v>
      </c>
      <c r="N426" s="146"/>
      <c r="P426" s="4" t="e">
        <f>VLOOKUP(H426,Stock_list!A:Y,25,FALSE)</f>
        <v>#N/A</v>
      </c>
      <c r="T426" s="144"/>
      <c r="U426" s="145" t="e">
        <f>VLOOKUP(H426,Stock_list!A:N,14,FALSE)</f>
        <v>#N/A</v>
      </c>
    </row>
    <row r="427" spans="1:21" ht="16.5" customHeight="1">
      <c r="A427" s="159" t="s">
        <v>264</v>
      </c>
      <c r="B427" s="114" t="str">
        <f>VLOOKUP(A427,'Data pick slip'!B:F,5,FALSE)</f>
        <v>KHJ-MC200-00</v>
      </c>
      <c r="F427" s="157" t="s">
        <v>270</v>
      </c>
      <c r="H427" s="138">
        <v>2017</v>
      </c>
      <c r="I427" s="615" t="e">
        <f>VLOOKUP(H427,Stock_list!A:R,18,FALSE)</f>
        <v>#N/A</v>
      </c>
      <c r="J427" s="616" t="e">
        <f>VLOOKUP(H427,Stock_list!A:S,17,FALSE)</f>
        <v>#N/A</v>
      </c>
      <c r="K427" s="617" t="e">
        <f>VLOOKUP(H427,Stock_list!A:T,16,FALSE)</f>
        <v>#N/A</v>
      </c>
      <c r="L427" s="618">
        <v>45323</v>
      </c>
      <c r="M427" s="619">
        <v>69</v>
      </c>
      <c r="N427" s="620"/>
      <c r="O427" s="621"/>
      <c r="P427" s="618" t="e">
        <f>VLOOKUP(H427,Stock_list!A:Y,25,FALSE)</f>
        <v>#N/A</v>
      </c>
      <c r="Q427" s="621"/>
      <c r="R427" s="622"/>
      <c r="S427" s="623" t="s">
        <v>1858</v>
      </c>
      <c r="T427" s="144"/>
      <c r="U427" s="145" t="e">
        <f>VLOOKUP(H427,Stock_list!A:N,14,FALSE)</f>
        <v>#N/A</v>
      </c>
    </row>
    <row r="428" spans="1:21" ht="16.5" customHeight="1">
      <c r="A428" s="159" t="s">
        <v>265</v>
      </c>
      <c r="B428" s="114" t="str">
        <f>VLOOKUP(A428,'Data pick slip'!B:F,5,FALSE)</f>
        <v>KHJ-MC400-00</v>
      </c>
      <c r="F428" s="157" t="s">
        <v>270</v>
      </c>
      <c r="H428" s="138">
        <v>2017</v>
      </c>
      <c r="I428" s="615" t="e">
        <f>VLOOKUP(H428,Stock_list!A:R,18,FALSE)</f>
        <v>#N/A</v>
      </c>
      <c r="J428" s="616" t="e">
        <f>VLOOKUP(H428,Stock_list!A:S,17,FALSE)</f>
        <v>#N/A</v>
      </c>
      <c r="K428" s="617" t="e">
        <f>VLOOKUP(H428,Stock_list!A:T,16,FALSE)</f>
        <v>#N/A</v>
      </c>
      <c r="L428" s="618">
        <v>45323</v>
      </c>
      <c r="M428" s="619">
        <v>20</v>
      </c>
      <c r="N428" s="620"/>
      <c r="O428" s="621"/>
      <c r="P428" s="618" t="e">
        <f>VLOOKUP(H428,Stock_list!A:Y,25,FALSE)</f>
        <v>#N/A</v>
      </c>
      <c r="Q428" s="621"/>
      <c r="R428" s="622"/>
      <c r="S428" s="623" t="s">
        <v>1858</v>
      </c>
      <c r="T428" s="144"/>
      <c r="U428" s="145" t="e">
        <f>VLOOKUP(H428,Stock_list!A:N,14,FALSE)</f>
        <v>#N/A</v>
      </c>
    </row>
    <row r="429" spans="1:21" ht="16.5" customHeight="1">
      <c r="A429" s="159" t="s">
        <v>266</v>
      </c>
      <c r="B429" s="114" t="str">
        <f>VLOOKUP(A429,'Data pick slip'!B:F,5,FALSE)</f>
        <v>KHJ-MC500-00</v>
      </c>
      <c r="F429" s="157" t="s">
        <v>227</v>
      </c>
      <c r="H429" s="138">
        <v>2017</v>
      </c>
      <c r="I429" s="140" t="e">
        <f>VLOOKUP(H429,Stock_list!A:R,18,FALSE)</f>
        <v>#N/A</v>
      </c>
      <c r="J429" s="139" t="e">
        <f>VLOOKUP(H429,Stock_list!A:S,17,FALSE)</f>
        <v>#N/A</v>
      </c>
      <c r="K429" s="51" t="e">
        <f>VLOOKUP(H429,Stock_list!A:T,16,FALSE)</f>
        <v>#N/A</v>
      </c>
      <c r="L429" s="4">
        <v>45323</v>
      </c>
      <c r="M429" s="143">
        <v>4</v>
      </c>
      <c r="N429" s="146"/>
      <c r="P429" s="4" t="e">
        <f>VLOOKUP(H429,Stock_list!A:Y,25,FALSE)</f>
        <v>#N/A</v>
      </c>
      <c r="T429" s="144"/>
      <c r="U429" s="145" t="e">
        <f>VLOOKUP(H429,Stock_list!A:N,14,FALSE)</f>
        <v>#N/A</v>
      </c>
    </row>
    <row r="430" spans="1:21" ht="16.5" customHeight="1">
      <c r="A430" s="159" t="s">
        <v>267</v>
      </c>
      <c r="B430" s="114" t="str">
        <f>VLOOKUP(A430,'Data pick slip'!B:F,5,FALSE)</f>
        <v>KHJ-MC600-00</v>
      </c>
      <c r="F430" s="157" t="s">
        <v>227</v>
      </c>
      <c r="H430" s="138">
        <v>2017</v>
      </c>
      <c r="I430" s="140" t="e">
        <f>VLOOKUP(H430,Stock_list!A:R,18,FALSE)</f>
        <v>#N/A</v>
      </c>
      <c r="J430" s="139" t="e">
        <f>VLOOKUP(H430,Stock_list!A:S,17,FALSE)</f>
        <v>#N/A</v>
      </c>
      <c r="K430" s="51" t="e">
        <f>VLOOKUP(H430,Stock_list!A:T,16,FALSE)</f>
        <v>#N/A</v>
      </c>
      <c r="L430" s="4">
        <v>45323</v>
      </c>
      <c r="M430" s="143">
        <v>2</v>
      </c>
      <c r="N430" s="146"/>
      <c r="P430" s="4" t="e">
        <f>VLOOKUP(H430,Stock_list!A:Y,25,FALSE)</f>
        <v>#N/A</v>
      </c>
      <c r="T430" s="144"/>
      <c r="U430" s="145" t="e">
        <f>VLOOKUP(H430,Stock_list!A:N,14,FALSE)</f>
        <v>#N/A</v>
      </c>
    </row>
    <row r="431" spans="1:21" ht="16.5" customHeight="1">
      <c r="A431" s="159" t="s">
        <v>261</v>
      </c>
      <c r="B431" s="114" t="str">
        <f>VLOOKUP(A431,'Data pick slip'!B:F,5,FALSE)</f>
        <v>KHJ-MC100-00</v>
      </c>
      <c r="F431" s="157" t="s">
        <v>227</v>
      </c>
      <c r="H431" s="138">
        <v>2018</v>
      </c>
      <c r="I431" s="140" t="e">
        <f>VLOOKUP(H431,Stock_list!A:R,18,FALSE)</f>
        <v>#N/A</v>
      </c>
      <c r="J431" s="139" t="e">
        <f>VLOOKUP(H431,Stock_list!A:S,17,FALSE)</f>
        <v>#N/A</v>
      </c>
      <c r="K431" s="51" t="e">
        <f>VLOOKUP(H431,Stock_list!A:T,16,FALSE)</f>
        <v>#N/A</v>
      </c>
      <c r="L431" s="4">
        <v>45257</v>
      </c>
      <c r="M431" s="140">
        <v>5</v>
      </c>
      <c r="P431" s="4" t="e">
        <f>VLOOKUP(H431,Stock_list!A:Y,25,FALSE)</f>
        <v>#N/A</v>
      </c>
      <c r="Q431" s="143"/>
      <c r="T431" s="144"/>
      <c r="U431" s="145" t="e">
        <f>VLOOKUP(H431,Stock_list!A:N,14,FALSE)</f>
        <v>#N/A</v>
      </c>
    </row>
    <row r="432" spans="1:21" ht="16.5" customHeight="1">
      <c r="A432" s="159" t="s">
        <v>272</v>
      </c>
      <c r="B432" s="114" t="str">
        <f>VLOOKUP(A432,'Data pick slip'!B:F,5,FALSE)</f>
        <v>KLJ-MC100-00</v>
      </c>
      <c r="F432" s="157" t="s">
        <v>270</v>
      </c>
      <c r="H432" s="138" t="s">
        <v>1730</v>
      </c>
      <c r="I432" s="140">
        <v>66</v>
      </c>
      <c r="J432" s="267" t="s">
        <v>1732</v>
      </c>
      <c r="K432" s="51" t="s">
        <v>1731</v>
      </c>
      <c r="L432" s="4">
        <v>45246</v>
      </c>
      <c r="M432" s="140">
        <v>200</v>
      </c>
      <c r="P432" s="4" t="s">
        <v>1708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272</v>
      </c>
      <c r="B433" s="114" t="str">
        <f>VLOOKUP(A433,'Data pick slip'!B:F,5,FALSE)</f>
        <v>KLJ-MC100-00</v>
      </c>
      <c r="F433" s="157" t="s">
        <v>270</v>
      </c>
      <c r="H433" s="138" t="s">
        <v>1730</v>
      </c>
      <c r="I433" s="140">
        <v>66</v>
      </c>
      <c r="J433" s="267" t="s">
        <v>1734</v>
      </c>
      <c r="K433" s="51" t="s">
        <v>1731</v>
      </c>
      <c r="L433" s="4">
        <v>45246</v>
      </c>
      <c r="M433" s="140">
        <v>45</v>
      </c>
      <c r="P433" s="4" t="s">
        <v>1517</v>
      </c>
      <c r="Q433" s="143"/>
      <c r="S433" s="544" t="s">
        <v>1737</v>
      </c>
      <c r="T433" s="144"/>
      <c r="U433" s="145" t="e">
        <f>VLOOKUP(H433,Stock_list!A:N,14,FALSE)</f>
        <v>#N/A</v>
      </c>
    </row>
    <row r="434" spans="1:21" ht="16.5" customHeight="1">
      <c r="A434" s="159" t="s">
        <v>272</v>
      </c>
      <c r="B434" s="114" t="str">
        <f>VLOOKUP(A434,'Data pick slip'!B:F,5,FALSE)</f>
        <v>KLJ-MC100-00</v>
      </c>
      <c r="F434" s="157" t="s">
        <v>227</v>
      </c>
      <c r="H434" s="138" t="s">
        <v>1730</v>
      </c>
      <c r="I434" s="140">
        <v>66</v>
      </c>
      <c r="J434" s="267" t="s">
        <v>1734</v>
      </c>
      <c r="K434" s="51" t="s">
        <v>1731</v>
      </c>
      <c r="L434" s="4">
        <v>45246</v>
      </c>
      <c r="M434" s="140">
        <v>55</v>
      </c>
      <c r="P434" s="4" t="s">
        <v>1517</v>
      </c>
      <c r="Q434" s="143"/>
      <c r="S434" s="544" t="s">
        <v>1733</v>
      </c>
      <c r="T434" s="144"/>
      <c r="U434" s="145" t="e">
        <f>VLOOKUP(H434,Stock_list!A:N,14,FALSE)</f>
        <v>#N/A</v>
      </c>
    </row>
    <row r="435" spans="1:21" ht="16.5" customHeight="1">
      <c r="A435" s="159" t="s">
        <v>261</v>
      </c>
      <c r="B435" s="114" t="str">
        <f>VLOOKUP(A435,'Data pick slip'!B:F,5,FALSE)</f>
        <v>KHJ-MC100-00</v>
      </c>
      <c r="F435" s="157" t="s">
        <v>227</v>
      </c>
      <c r="H435" s="138">
        <v>2023</v>
      </c>
      <c r="I435" s="140" t="e">
        <f>VLOOKUP(H435,Stock_list!A:R,18,FALSE)</f>
        <v>#N/A</v>
      </c>
      <c r="J435" s="139" t="e">
        <f>VLOOKUP(H435,Stock_list!A:S,17,FALSE)</f>
        <v>#N/A</v>
      </c>
      <c r="K435" s="51" t="e">
        <f>VLOOKUP(H435,Stock_list!A:T,16,FALSE)</f>
        <v>#N/A</v>
      </c>
      <c r="L435" s="4">
        <v>45254</v>
      </c>
      <c r="M435" s="140">
        <v>24</v>
      </c>
      <c r="P435" s="4" t="e">
        <f>VLOOKUP(H435,Stock_list!A:Y,25,FALSE)</f>
        <v>#N/A</v>
      </c>
      <c r="Q435" s="143"/>
      <c r="T435" s="144"/>
      <c r="U435" s="145" t="e">
        <f>VLOOKUP(H435,Stock_list!A:N,14,FALSE)</f>
        <v>#N/A</v>
      </c>
    </row>
    <row r="436" spans="1:21" ht="16.5" customHeight="1">
      <c r="A436" s="159" t="s">
        <v>264</v>
      </c>
      <c r="B436" s="114" t="str">
        <f>VLOOKUP(A436,'Data pick slip'!B:F,5,FALSE)</f>
        <v>KHJ-MC200-00</v>
      </c>
      <c r="F436" s="157" t="s">
        <v>227</v>
      </c>
      <c r="H436" s="138">
        <v>2023</v>
      </c>
      <c r="I436" s="140" t="e">
        <f>VLOOKUP(H436,Stock_list!A:R,18,FALSE)</f>
        <v>#N/A</v>
      </c>
      <c r="J436" s="139" t="e">
        <f>VLOOKUP(H436,Stock_list!A:S,17,FALSE)</f>
        <v>#N/A</v>
      </c>
      <c r="K436" s="51" t="e">
        <f>VLOOKUP(H436,Stock_list!A:T,16,FALSE)</f>
        <v>#N/A</v>
      </c>
      <c r="L436" s="4">
        <v>45254</v>
      </c>
      <c r="M436" s="140">
        <v>20</v>
      </c>
      <c r="P436" s="4" t="e">
        <f>VLOOKUP(H436,Stock_list!A:Y,25,FALSE)</f>
        <v>#N/A</v>
      </c>
      <c r="Q436" s="143"/>
      <c r="T436" s="144"/>
      <c r="U436" s="145" t="e">
        <f>VLOOKUP(H436,Stock_list!A:N,14,FALSE)</f>
        <v>#N/A</v>
      </c>
    </row>
    <row r="437" spans="1:21" ht="16.5" customHeight="1">
      <c r="A437" s="159" t="s">
        <v>265</v>
      </c>
      <c r="B437" s="114" t="str">
        <f>VLOOKUP(A437,'Data pick slip'!B:F,5,FALSE)</f>
        <v>KHJ-MC400-00</v>
      </c>
      <c r="F437" s="157" t="s">
        <v>270</v>
      </c>
      <c r="H437" s="138">
        <v>2023</v>
      </c>
      <c r="I437" s="140" t="e">
        <f>VLOOKUP(H437,Stock_list!A:R,18,FALSE)</f>
        <v>#N/A</v>
      </c>
      <c r="J437" s="139" t="e">
        <f>VLOOKUP(H437,Stock_list!A:S,17,FALSE)</f>
        <v>#N/A</v>
      </c>
      <c r="K437" s="51" t="e">
        <f>VLOOKUP(H437,Stock_list!A:T,16,FALSE)</f>
        <v>#N/A</v>
      </c>
      <c r="L437" s="4">
        <v>45254</v>
      </c>
      <c r="M437" s="140">
        <v>8</v>
      </c>
      <c r="P437" s="4" t="e">
        <f>VLOOKUP(H437,Stock_list!A:Y,25,FALSE)</f>
        <v>#N/A</v>
      </c>
      <c r="Q437" s="143"/>
      <c r="S437" s="123" t="s">
        <v>1738</v>
      </c>
      <c r="T437" s="144"/>
      <c r="U437" s="145" t="e">
        <f>VLOOKUP(H437,Stock_list!A:N,14,FALSE)</f>
        <v>#N/A</v>
      </c>
    </row>
    <row r="438" spans="1:21" ht="16.5" customHeight="1">
      <c r="A438" s="159" t="s">
        <v>266</v>
      </c>
      <c r="B438" s="114" t="str">
        <f>VLOOKUP(A438,'Data pick slip'!B:F,5,FALSE)</f>
        <v>KHJ-MC500-00</v>
      </c>
      <c r="F438" s="157" t="s">
        <v>227</v>
      </c>
      <c r="H438" s="138">
        <v>2023</v>
      </c>
      <c r="I438" s="140" t="e">
        <f>VLOOKUP(H438,Stock_list!A:R,18,FALSE)</f>
        <v>#N/A</v>
      </c>
      <c r="J438" s="139" t="e">
        <f>VLOOKUP(H438,Stock_list!A:S,17,FALSE)</f>
        <v>#N/A</v>
      </c>
      <c r="K438" s="51" t="e">
        <f>VLOOKUP(H438,Stock_list!A:T,16,FALSE)</f>
        <v>#N/A</v>
      </c>
      <c r="L438" s="4">
        <v>45254</v>
      </c>
      <c r="M438" s="140">
        <v>4</v>
      </c>
      <c r="P438" s="4" t="e">
        <f>VLOOKUP(H438,Stock_list!A:Y,25,FALSE)</f>
        <v>#N/A</v>
      </c>
      <c r="Q438" s="143"/>
      <c r="T438" s="144"/>
      <c r="U438" s="145" t="e">
        <f>VLOOKUP(H438,Stock_list!A:N,14,FALSE)</f>
        <v>#N/A</v>
      </c>
    </row>
    <row r="439" spans="1:21" ht="16.5" customHeight="1">
      <c r="A439" s="159" t="s">
        <v>274</v>
      </c>
      <c r="B439" s="114" t="str">
        <f>VLOOKUP(A439,'Data pick slip'!B:F,5,FALSE)</f>
        <v>KLJ-MC400-00</v>
      </c>
      <c r="F439" s="157" t="s">
        <v>270</v>
      </c>
      <c r="H439" s="138" t="s">
        <v>1739</v>
      </c>
      <c r="I439" s="140">
        <v>66</v>
      </c>
      <c r="J439" s="267" t="s">
        <v>1740</v>
      </c>
      <c r="K439" s="51" t="s">
        <v>225</v>
      </c>
      <c r="L439" s="4">
        <v>45253</v>
      </c>
      <c r="M439" s="140">
        <v>5</v>
      </c>
      <c r="P439" s="4" t="s">
        <v>214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276</v>
      </c>
      <c r="B440" s="114" t="str">
        <f>VLOOKUP(A440,'Data pick slip'!B:F,5,FALSE)</f>
        <v>KLJ-MC600-00</v>
      </c>
      <c r="F440" s="157" t="s">
        <v>270</v>
      </c>
      <c r="H440" s="138" t="s">
        <v>1739</v>
      </c>
      <c r="I440" s="140">
        <v>66</v>
      </c>
      <c r="J440" s="267" t="s">
        <v>1740</v>
      </c>
      <c r="K440" s="51" t="s">
        <v>225</v>
      </c>
      <c r="L440" s="4">
        <v>45253</v>
      </c>
      <c r="M440" s="140">
        <v>1</v>
      </c>
      <c r="P440" s="4" t="s">
        <v>214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274</v>
      </c>
      <c r="B441" s="114" t="str">
        <f>VLOOKUP(A441,'Data pick slip'!B:F,5,FALSE)</f>
        <v>KLJ-MC400-00</v>
      </c>
      <c r="F441" s="157" t="s">
        <v>227</v>
      </c>
      <c r="I441" s="390" t="s">
        <v>1429</v>
      </c>
      <c r="J441" s="269" t="s">
        <v>1744</v>
      </c>
      <c r="K441" s="51" t="s">
        <v>1714</v>
      </c>
      <c r="L441" s="4">
        <v>45260</v>
      </c>
      <c r="M441" s="132">
        <v>6</v>
      </c>
      <c r="P441" s="4" t="s">
        <v>1716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276</v>
      </c>
      <c r="B442" s="114" t="str">
        <f>VLOOKUP(A442,'Data pick slip'!B:F,5,FALSE)</f>
        <v>KLJ-MC600-00</v>
      </c>
      <c r="F442" s="157" t="s">
        <v>227</v>
      </c>
      <c r="I442" s="390" t="s">
        <v>1429</v>
      </c>
      <c r="J442" s="269" t="s">
        <v>1744</v>
      </c>
      <c r="K442" s="51" t="s">
        <v>225</v>
      </c>
      <c r="L442" s="4">
        <v>45260</v>
      </c>
      <c r="M442" s="132">
        <v>1</v>
      </c>
      <c r="P442" s="4" t="s">
        <v>214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261</v>
      </c>
      <c r="B443" s="114" t="str">
        <f>VLOOKUP(A443,'Data pick slip'!B:F,5,FALSE)</f>
        <v>KHJ-MC100-00</v>
      </c>
      <c r="F443" s="157" t="s">
        <v>227</v>
      </c>
      <c r="H443" s="138">
        <v>2027</v>
      </c>
      <c r="I443" s="140" t="e">
        <f>VLOOKUP(H443,Stock_list!A:R,18,FALSE)</f>
        <v>#N/A</v>
      </c>
      <c r="J443" s="139" t="e">
        <f>VLOOKUP(H443,Stock_list!A:S,17,FALSE)</f>
        <v>#N/A</v>
      </c>
      <c r="K443" s="51" t="e">
        <f>VLOOKUP(H443,Stock_list!A:T,16,FALSE)</f>
        <v>#N/A</v>
      </c>
      <c r="L443" s="4">
        <v>45275</v>
      </c>
      <c r="M443" s="143">
        <v>40</v>
      </c>
      <c r="P443" s="4" t="e">
        <f>VLOOKUP(H443,Stock_list!A:Y,25,FALSE)</f>
        <v>#N/A</v>
      </c>
      <c r="T443" s="144"/>
      <c r="U443" s="145" t="e">
        <f>VLOOKUP(H443,Stock_list!A:N,14,FALSE)</f>
        <v>#N/A</v>
      </c>
    </row>
    <row r="444" spans="1:21" ht="16.5" customHeight="1">
      <c r="A444" s="159" t="s">
        <v>264</v>
      </c>
      <c r="B444" s="114" t="str">
        <f>VLOOKUP(A444,'Data pick slip'!B:F,5,FALSE)</f>
        <v>KHJ-MC200-00</v>
      </c>
      <c r="F444" s="157" t="s">
        <v>227</v>
      </c>
      <c r="H444" s="138">
        <v>2027</v>
      </c>
      <c r="I444" s="140" t="e">
        <f>VLOOKUP(H444,Stock_list!A:R,18,FALSE)</f>
        <v>#N/A</v>
      </c>
      <c r="J444" s="139" t="e">
        <f>VLOOKUP(H444,Stock_list!A:S,17,FALSE)</f>
        <v>#N/A</v>
      </c>
      <c r="K444" s="51" t="e">
        <f>VLOOKUP(H444,Stock_list!A:T,16,FALSE)</f>
        <v>#N/A</v>
      </c>
      <c r="L444" s="4">
        <v>45275</v>
      </c>
      <c r="M444" s="143">
        <v>4</v>
      </c>
      <c r="P444" s="4" t="e">
        <f>VLOOKUP(H444,Stock_list!A:Y,25,FALSE)</f>
        <v>#N/A</v>
      </c>
      <c r="T444" s="144"/>
      <c r="U444" s="145" t="e">
        <f>VLOOKUP(H444,Stock_list!A:N,14,FALSE)</f>
        <v>#N/A</v>
      </c>
    </row>
    <row r="445" spans="1:21" ht="16.5" customHeight="1">
      <c r="A445" s="159" t="s">
        <v>265</v>
      </c>
      <c r="B445" s="114" t="str">
        <f>VLOOKUP(A445,'Data pick slip'!B:F,5,FALSE)</f>
        <v>KHJ-MC400-00</v>
      </c>
      <c r="F445" s="157" t="s">
        <v>270</v>
      </c>
      <c r="H445" s="138">
        <v>2027</v>
      </c>
      <c r="I445" s="140" t="e">
        <f>VLOOKUP(H445,Stock_list!A:R,18,FALSE)</f>
        <v>#N/A</v>
      </c>
      <c r="J445" s="139" t="e">
        <f>VLOOKUP(H445,Stock_list!A:S,17,FALSE)</f>
        <v>#N/A</v>
      </c>
      <c r="K445" s="51" t="e">
        <f>VLOOKUP(H445,Stock_list!A:T,16,FALSE)</f>
        <v>#N/A</v>
      </c>
      <c r="L445" s="4">
        <v>45275</v>
      </c>
      <c r="M445" s="143">
        <v>2</v>
      </c>
      <c r="P445" s="4" t="e">
        <f>VLOOKUP(H445,Stock_list!A:Y,25,FALSE)</f>
        <v>#N/A</v>
      </c>
      <c r="S445" s="268" t="s">
        <v>1766</v>
      </c>
      <c r="T445" s="266" t="s">
        <v>1767</v>
      </c>
      <c r="U445" s="145" t="e">
        <f>VLOOKUP(H445,Stock_list!A:N,14,FALSE)</f>
        <v>#N/A</v>
      </c>
    </row>
    <row r="446" spans="1:21" ht="16.5" customHeight="1">
      <c r="A446" s="159" t="s">
        <v>272</v>
      </c>
      <c r="B446" s="114" t="str">
        <f>VLOOKUP(A446,'Data pick slip'!B:F,5,FALSE)</f>
        <v>KLJ-MC100-00</v>
      </c>
      <c r="F446" s="157" t="s">
        <v>227</v>
      </c>
      <c r="H446" s="138">
        <v>2030</v>
      </c>
      <c r="I446" s="140" t="e">
        <f>VLOOKUP(H446,Stock_list!A:R,18,FALSE)</f>
        <v>#N/A</v>
      </c>
      <c r="J446" s="139" t="e">
        <f>VLOOKUP(H446,Stock_list!A:S,17,FALSE)</f>
        <v>#N/A</v>
      </c>
      <c r="K446" s="51" t="e">
        <f>VLOOKUP(H446,Stock_list!A:T,16,FALSE)</f>
        <v>#N/A</v>
      </c>
      <c r="L446" s="4">
        <v>45287</v>
      </c>
      <c r="M446" s="140">
        <v>35</v>
      </c>
      <c r="N446" s="143"/>
      <c r="P446" s="4" t="e">
        <f>VLOOKUP(H446,Stock_list!A:Y,25,FALSE)</f>
        <v>#N/A</v>
      </c>
      <c r="T446" s="144"/>
      <c r="U446" s="145" t="e">
        <f>VLOOKUP(H446,Stock_list!A:N,14,FALSE)</f>
        <v>#N/A</v>
      </c>
    </row>
    <row r="447" spans="1:21" ht="16.5" customHeight="1">
      <c r="A447" s="159" t="s">
        <v>273</v>
      </c>
      <c r="B447" s="114" t="str">
        <f>VLOOKUP(A447,'Data pick slip'!B:F,5,FALSE)</f>
        <v>KLJ-MC200-00</v>
      </c>
      <c r="F447" s="157" t="s">
        <v>227</v>
      </c>
      <c r="H447" s="138">
        <v>2030</v>
      </c>
      <c r="I447" s="140" t="e">
        <f>VLOOKUP(H447,Stock_list!A:R,18,FALSE)</f>
        <v>#N/A</v>
      </c>
      <c r="J447" s="139" t="e">
        <f>VLOOKUP(H447,Stock_list!A:S,17,FALSE)</f>
        <v>#N/A</v>
      </c>
      <c r="K447" s="51" t="e">
        <f>VLOOKUP(H447,Stock_list!A:T,16,FALSE)</f>
        <v>#N/A</v>
      </c>
      <c r="L447" s="4">
        <v>45287</v>
      </c>
      <c r="M447" s="140">
        <v>10</v>
      </c>
      <c r="N447" s="143"/>
      <c r="P447" s="4" t="e">
        <f>VLOOKUP(H447,Stock_list!A:Y,25,FALSE)</f>
        <v>#N/A</v>
      </c>
      <c r="T447" s="144"/>
      <c r="U447" s="145" t="e">
        <f>VLOOKUP(H447,Stock_list!A:N,14,FALSE)</f>
        <v>#N/A</v>
      </c>
    </row>
    <row r="448" spans="1:21" ht="16.5" customHeight="1">
      <c r="A448" s="159" t="s">
        <v>272</v>
      </c>
      <c r="B448" s="114" t="str">
        <f>VLOOKUP(A448,'Data pick slip'!B:F,5,FALSE)</f>
        <v>KLJ-MC100-00</v>
      </c>
      <c r="F448" s="157" t="s">
        <v>227</v>
      </c>
      <c r="H448" s="138">
        <v>2031</v>
      </c>
      <c r="I448" s="140" t="e">
        <f>VLOOKUP(H448,Stock_list!A:R,18,FALSE)</f>
        <v>#N/A</v>
      </c>
      <c r="J448" s="139" t="e">
        <f>VLOOKUP(H448,Stock_list!A:S,17,FALSE)</f>
        <v>#N/A</v>
      </c>
      <c r="K448" s="51" t="e">
        <f>VLOOKUP(H448,Stock_list!A:T,16,FALSE)</f>
        <v>#N/A</v>
      </c>
      <c r="L448" s="4">
        <v>45272</v>
      </c>
      <c r="M448" s="143">
        <v>26</v>
      </c>
      <c r="P448" s="4" t="e">
        <f>VLOOKUP(H448,Stock_list!A:Y,25,FALSE)</f>
        <v>#N/A</v>
      </c>
      <c r="T448" s="144"/>
      <c r="U448" s="145" t="e">
        <f>VLOOKUP(H448,Stock_list!A:N,14,FALSE)</f>
        <v>#N/A</v>
      </c>
    </row>
    <row r="449" spans="1:21" ht="16.5" customHeight="1">
      <c r="A449" s="159" t="s">
        <v>273</v>
      </c>
      <c r="B449" s="114" t="str">
        <f>VLOOKUP(A449,'Data pick slip'!B:F,5,FALSE)</f>
        <v>KLJ-MC200-00</v>
      </c>
      <c r="F449" s="157" t="s">
        <v>227</v>
      </c>
      <c r="H449" s="138">
        <v>2031</v>
      </c>
      <c r="I449" s="140" t="e">
        <f>VLOOKUP(H449,Stock_list!A:R,18,FALSE)</f>
        <v>#N/A</v>
      </c>
      <c r="J449" s="139" t="e">
        <f>VLOOKUP(H449,Stock_list!A:S,17,FALSE)</f>
        <v>#N/A</v>
      </c>
      <c r="K449" s="51" t="e">
        <f>VLOOKUP(H449,Stock_list!A:T,16,FALSE)</f>
        <v>#N/A</v>
      </c>
      <c r="L449" s="4">
        <v>45272</v>
      </c>
      <c r="M449" s="143">
        <v>3</v>
      </c>
      <c r="P449" s="4" t="e">
        <f>VLOOKUP(H449,Stock_list!A:Y,25,FALSE)</f>
        <v>#N/A</v>
      </c>
      <c r="T449" s="144"/>
      <c r="U449" s="145" t="e">
        <f>VLOOKUP(H449,Stock_list!A:N,14,FALSE)</f>
        <v>#N/A</v>
      </c>
    </row>
    <row r="450" spans="1:21" ht="16.5" customHeight="1">
      <c r="A450" s="159" t="s">
        <v>274</v>
      </c>
      <c r="B450" s="114" t="str">
        <f>VLOOKUP(A450,'Data pick slip'!B:F,5,FALSE)</f>
        <v>KLJ-MC400-00</v>
      </c>
      <c r="F450" s="157" t="s">
        <v>227</v>
      </c>
      <c r="H450" s="138">
        <v>2031</v>
      </c>
      <c r="I450" s="140" t="e">
        <f>VLOOKUP(H450,Stock_list!A:R,18,FALSE)</f>
        <v>#N/A</v>
      </c>
      <c r="J450" s="139" t="e">
        <f>VLOOKUP(H450,Stock_list!A:S,17,FALSE)</f>
        <v>#N/A</v>
      </c>
      <c r="K450" s="51" t="e">
        <f>VLOOKUP(H450,Stock_list!A:T,16,FALSE)</f>
        <v>#N/A</v>
      </c>
      <c r="L450" s="4">
        <v>45272</v>
      </c>
      <c r="M450" s="143">
        <v>3</v>
      </c>
      <c r="P450" s="4" t="e">
        <f>VLOOKUP(H450,Stock_list!A:Y,25,FALSE)</f>
        <v>#N/A</v>
      </c>
      <c r="T450" s="144"/>
      <c r="U450" s="145" t="e">
        <f>VLOOKUP(H450,Stock_list!A:N,14,FALSE)</f>
        <v>#N/A</v>
      </c>
    </row>
    <row r="451" spans="1:21" ht="16.5" customHeight="1">
      <c r="A451" s="159" t="s">
        <v>261</v>
      </c>
      <c r="B451" s="114" t="str">
        <f>VLOOKUP(A451,'Data pick slip'!B:F,5,FALSE)</f>
        <v>KHJ-MC100-00</v>
      </c>
      <c r="F451" s="157" t="s">
        <v>270</v>
      </c>
      <c r="H451" s="138">
        <v>2034</v>
      </c>
      <c r="I451" s="140" t="e">
        <f>VLOOKUP(H451,Stock_list!A:R,18,FALSE)</f>
        <v>#N/A</v>
      </c>
      <c r="J451" s="139" t="e">
        <f>VLOOKUP(H451,Stock_list!A:S,17,FALSE)</f>
        <v>#N/A</v>
      </c>
      <c r="K451" s="51" t="e">
        <f>VLOOKUP(H451,Stock_list!A:T,16,FALSE)</f>
        <v>#N/A</v>
      </c>
      <c r="L451" s="4">
        <v>45296</v>
      </c>
      <c r="M451" s="140">
        <v>68</v>
      </c>
      <c r="N451" s="143"/>
      <c r="P451" s="4" t="e">
        <f>VLOOKUP(H451,Stock_list!A:Y,25,FALSE)</f>
        <v>#N/A</v>
      </c>
      <c r="T451" s="144"/>
      <c r="U451" s="145" t="e">
        <f>VLOOKUP(H451,Stock_list!A:N,14,FALSE)</f>
        <v>#N/A</v>
      </c>
    </row>
    <row r="452" spans="1:21" ht="16.5" customHeight="1">
      <c r="A452" s="159" t="s">
        <v>264</v>
      </c>
      <c r="B452" s="114" t="str">
        <f>VLOOKUP(A452,'Data pick slip'!B:F,5,FALSE)</f>
        <v>KHJ-MC200-00</v>
      </c>
      <c r="F452" s="157" t="s">
        <v>270</v>
      </c>
      <c r="H452" s="138">
        <v>2034</v>
      </c>
      <c r="I452" s="140" t="e">
        <f>VLOOKUP(H452,Stock_list!A:R,18,FALSE)</f>
        <v>#N/A</v>
      </c>
      <c r="J452" s="139" t="e">
        <f>VLOOKUP(H452,Stock_list!A:S,17,FALSE)</f>
        <v>#N/A</v>
      </c>
      <c r="K452" s="51" t="e">
        <f>VLOOKUP(H452,Stock_list!A:T,16,FALSE)</f>
        <v>#N/A</v>
      </c>
      <c r="L452" s="4">
        <v>45296</v>
      </c>
      <c r="M452" s="140">
        <v>11</v>
      </c>
      <c r="N452" s="143"/>
      <c r="P452" s="4" t="e">
        <f>VLOOKUP(H452,Stock_list!A:Y,25,FALSE)</f>
        <v>#N/A</v>
      </c>
      <c r="T452" s="144"/>
      <c r="U452" s="145" t="e">
        <f>VLOOKUP(H452,Stock_list!A:N,14,FALSE)</f>
        <v>#N/A</v>
      </c>
    </row>
    <row r="453" spans="1:21" ht="16.5" customHeight="1">
      <c r="A453" s="159" t="s">
        <v>265</v>
      </c>
      <c r="B453" s="114" t="str">
        <f>VLOOKUP(A453,'Data pick slip'!B:F,5,FALSE)</f>
        <v>KHJ-MC400-00</v>
      </c>
      <c r="F453" s="157" t="s">
        <v>270</v>
      </c>
      <c r="H453" s="138">
        <v>2034</v>
      </c>
      <c r="I453" s="140" t="e">
        <f>VLOOKUP(H453,Stock_list!A:R,18,FALSE)</f>
        <v>#N/A</v>
      </c>
      <c r="J453" s="139" t="e">
        <f>VLOOKUP(H453,Stock_list!A:S,17,FALSE)</f>
        <v>#N/A</v>
      </c>
      <c r="K453" s="51" t="e">
        <f>VLOOKUP(H453,Stock_list!A:T,16,FALSE)</f>
        <v>#N/A</v>
      </c>
      <c r="L453" s="4">
        <v>45296</v>
      </c>
      <c r="M453" s="140">
        <v>3</v>
      </c>
      <c r="N453" s="143"/>
      <c r="P453" s="4" t="e">
        <f>VLOOKUP(H453,Stock_list!A:Y,25,FALSE)</f>
        <v>#N/A</v>
      </c>
      <c r="T453" s="144"/>
      <c r="U453" s="145" t="e">
        <f>VLOOKUP(H453,Stock_list!A:N,14,FALSE)</f>
        <v>#N/A</v>
      </c>
    </row>
    <row r="454" spans="1:21" ht="16.5" customHeight="1">
      <c r="A454" s="159" t="s">
        <v>261</v>
      </c>
      <c r="B454" s="114" t="str">
        <f>VLOOKUP(A454,'Data pick slip'!B:F,5,FALSE)</f>
        <v>KHJ-MC100-00</v>
      </c>
      <c r="F454" s="157" t="s">
        <v>270</v>
      </c>
      <c r="H454" s="138">
        <v>2035</v>
      </c>
      <c r="I454" s="140" t="e">
        <f>VLOOKUP(H454,Stock_list!A:R,18,FALSE)</f>
        <v>#N/A</v>
      </c>
      <c r="J454" s="139" t="e">
        <f>VLOOKUP(H454,Stock_list!A:S,17,FALSE)</f>
        <v>#N/A</v>
      </c>
      <c r="K454" s="51" t="e">
        <f>VLOOKUP(H454,Stock_list!A:T,16,FALSE)</f>
        <v>#N/A</v>
      </c>
      <c r="L454" s="4"/>
      <c r="N454" s="143">
        <v>52</v>
      </c>
      <c r="P454" s="4" t="e">
        <f>VLOOKUP(H454,Stock_list!A:Y,25,FALSE)</f>
        <v>#N/A</v>
      </c>
      <c r="T454" s="144"/>
      <c r="U454" s="145" t="e">
        <f>VLOOKUP(H454,Stock_list!A:N,14,FALSE)</f>
        <v>#N/A</v>
      </c>
    </row>
    <row r="455" spans="1:21" ht="16.5" customHeight="1">
      <c r="A455" s="159" t="s">
        <v>264</v>
      </c>
      <c r="B455" s="114" t="str">
        <f>VLOOKUP(A455,'Data pick slip'!B:F,5,FALSE)</f>
        <v>KHJ-MC200-00</v>
      </c>
      <c r="F455" s="157" t="s">
        <v>270</v>
      </c>
      <c r="H455" s="138">
        <v>2035</v>
      </c>
      <c r="I455" s="140" t="e">
        <f>VLOOKUP(H455,Stock_list!A:R,18,FALSE)</f>
        <v>#N/A</v>
      </c>
      <c r="J455" s="139" t="e">
        <f>VLOOKUP(H455,Stock_list!A:S,17,FALSE)</f>
        <v>#N/A</v>
      </c>
      <c r="K455" s="51" t="e">
        <f>VLOOKUP(H455,Stock_list!A:T,16,FALSE)</f>
        <v>#N/A</v>
      </c>
      <c r="L455" s="4"/>
      <c r="N455" s="143">
        <v>4</v>
      </c>
      <c r="P455" s="4" t="e">
        <f>VLOOKUP(H455,Stock_list!A:Y,25,FALSE)</f>
        <v>#N/A</v>
      </c>
      <c r="T455" s="144"/>
      <c r="U455" s="145" t="e">
        <f>VLOOKUP(H455,Stock_list!A:N,14,FALSE)</f>
        <v>#N/A</v>
      </c>
    </row>
    <row r="456" spans="1:21" ht="16.5" customHeight="1">
      <c r="A456" s="159" t="s">
        <v>265</v>
      </c>
      <c r="B456" s="114" t="str">
        <f>VLOOKUP(A456,'Data pick slip'!B:F,5,FALSE)</f>
        <v>KHJ-MC400-00</v>
      </c>
      <c r="F456" s="157" t="s">
        <v>270</v>
      </c>
      <c r="H456" s="138">
        <v>2035</v>
      </c>
      <c r="I456" s="140" t="e">
        <f>VLOOKUP(H456,Stock_list!A:R,18,FALSE)</f>
        <v>#N/A</v>
      </c>
      <c r="J456" s="139" t="e">
        <f>VLOOKUP(H456,Stock_list!A:S,17,FALSE)</f>
        <v>#N/A</v>
      </c>
      <c r="K456" s="51" t="e">
        <f>VLOOKUP(H456,Stock_list!A:T,16,FALSE)</f>
        <v>#N/A</v>
      </c>
      <c r="L456" s="4"/>
      <c r="N456" s="143">
        <v>2</v>
      </c>
      <c r="P456" s="4" t="e">
        <f>VLOOKUP(H456,Stock_list!A:Y,25,FALSE)</f>
        <v>#N/A</v>
      </c>
      <c r="T456" s="144"/>
      <c r="U456" s="145" t="e">
        <f>VLOOKUP(H456,Stock_list!A:N,14,FALSE)</f>
        <v>#N/A</v>
      </c>
    </row>
    <row r="457" spans="1:21" ht="16.5" customHeight="1">
      <c r="A457" s="159" t="s">
        <v>261</v>
      </c>
      <c r="B457" s="114" t="str">
        <f>VLOOKUP(A457,'Data pick slip'!B:F,5,FALSE)</f>
        <v>KHJ-MC100-00</v>
      </c>
      <c r="F457" s="157" t="s">
        <v>227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265</v>
      </c>
      <c r="B458" s="114" t="str">
        <f>VLOOKUP(A458,'Data pick slip'!B:F,5,FALSE)</f>
        <v>KHJ-MC400-00</v>
      </c>
      <c r="F458" s="157" t="s">
        <v>227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266</v>
      </c>
      <c r="B459" s="114" t="str">
        <f>VLOOKUP(A459,'Data pick slip'!B:F,5,FALSE)</f>
        <v>KHJ-MC500-00</v>
      </c>
      <c r="F459" s="157" t="s">
        <v>227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267</v>
      </c>
      <c r="B460" s="114" t="str">
        <f>VLOOKUP(A460,'Data pick slip'!B:F,5,FALSE)</f>
        <v>KHJ-MC600-00</v>
      </c>
      <c r="F460" s="157" t="s">
        <v>227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261</v>
      </c>
      <c r="B461" s="114" t="str">
        <f>VLOOKUP(A461,'Data pick slip'!B:F,5,FALSE)</f>
        <v>KHJ-MC100-00</v>
      </c>
      <c r="F461" s="157" t="s">
        <v>227</v>
      </c>
      <c r="H461" s="138">
        <v>2044</v>
      </c>
      <c r="I461" s="140" t="e">
        <f>VLOOKUP(H461,Stock_list!A:R,18,FALSE)</f>
        <v>#N/A</v>
      </c>
      <c r="J461" s="139" t="e">
        <f>VLOOKUP(H461,Stock_list!A:S,17,FALSE)</f>
        <v>#N/A</v>
      </c>
      <c r="K461" s="51" t="e">
        <f>VLOOKUP(H461,Stock_list!A:T,16,FALSE)</f>
        <v>#N/A</v>
      </c>
      <c r="L461" s="4">
        <v>45285</v>
      </c>
      <c r="M461" s="140">
        <v>54</v>
      </c>
      <c r="P461" s="4" t="e">
        <f>VLOOKUP(H461,Stock_list!A:Y,25,FALSE)</f>
        <v>#N/A</v>
      </c>
      <c r="Q461" s="143"/>
      <c r="T461" s="144"/>
      <c r="U461" s="145" t="e">
        <f>VLOOKUP(H461,Stock_list!A:N,14,FALSE)</f>
        <v>#N/A</v>
      </c>
    </row>
    <row r="462" spans="1:21" ht="16.5" customHeight="1">
      <c r="A462" s="159" t="s">
        <v>272</v>
      </c>
      <c r="B462" s="114" t="str">
        <f>VLOOKUP(A462,'Data pick slip'!B:F,5,FALSE)</f>
        <v>KLJ-MC100-00</v>
      </c>
      <c r="F462" s="157" t="s">
        <v>227</v>
      </c>
      <c r="H462" s="138" t="s">
        <v>1751</v>
      </c>
      <c r="I462" s="140">
        <v>66</v>
      </c>
      <c r="J462" s="267" t="s">
        <v>1752</v>
      </c>
      <c r="K462" s="51" t="s">
        <v>1753</v>
      </c>
      <c r="L462" s="4">
        <v>45274</v>
      </c>
      <c r="M462" s="140">
        <v>6</v>
      </c>
      <c r="P462" s="4" t="s">
        <v>1517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273</v>
      </c>
      <c r="B463" s="114" t="str">
        <f>VLOOKUP(A463,'Data pick slip'!B:F,5,FALSE)</f>
        <v>KLJ-MC200-00</v>
      </c>
      <c r="F463" s="157" t="s">
        <v>227</v>
      </c>
      <c r="H463" s="138" t="s">
        <v>1751</v>
      </c>
      <c r="I463" s="140">
        <v>66</v>
      </c>
      <c r="J463" s="267" t="s">
        <v>1752</v>
      </c>
      <c r="K463" s="51" t="s">
        <v>1753</v>
      </c>
      <c r="L463" s="4">
        <v>45274</v>
      </c>
      <c r="M463" s="140">
        <v>2</v>
      </c>
      <c r="P463" s="4" t="s">
        <v>1517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</v>
      </c>
      <c r="B464" s="114" t="str">
        <f>VLOOKUP(A464,'Data pick slip'!B:F,5,FALSE)</f>
        <v>KLJ-MC500-00</v>
      </c>
      <c r="F464" s="157" t="s">
        <v>227</v>
      </c>
      <c r="H464" s="138" t="s">
        <v>1751</v>
      </c>
      <c r="I464" s="140">
        <v>66</v>
      </c>
      <c r="J464" s="267" t="s">
        <v>1752</v>
      </c>
      <c r="K464" s="51" t="s">
        <v>1753</v>
      </c>
      <c r="L464" s="4">
        <v>45274</v>
      </c>
      <c r="M464" s="140">
        <v>1</v>
      </c>
      <c r="P464" s="4" t="s">
        <v>1517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1764</v>
      </c>
      <c r="B465" s="114" t="str">
        <f>VLOOKUP(A465,'Data pick slip'!B:F,5,FALSE)</f>
        <v>KLJ-MC100-00</v>
      </c>
      <c r="F465" s="157" t="s">
        <v>227</v>
      </c>
      <c r="H465" s="138" t="s">
        <v>1751</v>
      </c>
      <c r="I465" s="140">
        <v>66</v>
      </c>
      <c r="J465" s="267" t="s">
        <v>1756</v>
      </c>
      <c r="K465" s="51" t="s">
        <v>1753</v>
      </c>
      <c r="L465" s="291">
        <v>45275</v>
      </c>
      <c r="M465" s="140">
        <v>125</v>
      </c>
      <c r="P465" s="4" t="s">
        <v>1517</v>
      </c>
      <c r="Q465" s="143"/>
      <c r="S465" s="544" t="s">
        <v>1768</v>
      </c>
      <c r="T465" s="144"/>
      <c r="U465" s="145" t="e">
        <f>VLOOKUP(H465,Stock_list!A:N,14,FALSE)</f>
        <v>#N/A</v>
      </c>
    </row>
    <row r="466" spans="1:21" ht="16.5" customHeight="1">
      <c r="A466" s="159" t="s">
        <v>261</v>
      </c>
      <c r="B466" s="114" t="str">
        <f>VLOOKUP(A466,'Data pick slip'!B:F,5,FALSE)</f>
        <v>KHJ-MC100-00</v>
      </c>
      <c r="F466" s="157" t="s">
        <v>270</v>
      </c>
      <c r="H466" s="138" t="s">
        <v>1758</v>
      </c>
      <c r="I466" s="140">
        <v>66</v>
      </c>
      <c r="J466" s="267" t="s">
        <v>1759</v>
      </c>
      <c r="K466" s="51" t="s">
        <v>1760</v>
      </c>
      <c r="L466" s="4">
        <v>45274</v>
      </c>
      <c r="M466" s="140">
        <v>5</v>
      </c>
      <c r="P466" s="4" t="s">
        <v>1708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1764</v>
      </c>
      <c r="B467" s="114" t="str">
        <f>VLOOKUP(A467,'Data pick slip'!B:F,5,FALSE)</f>
        <v>KLJ-MC100-00</v>
      </c>
      <c r="F467" s="157" t="s">
        <v>270</v>
      </c>
      <c r="H467" s="138" t="s">
        <v>1762</v>
      </c>
      <c r="I467" s="140">
        <v>66</v>
      </c>
      <c r="J467" s="267" t="s">
        <v>1761</v>
      </c>
      <c r="K467" s="51" t="s">
        <v>1763</v>
      </c>
      <c r="L467" s="4">
        <v>45275</v>
      </c>
      <c r="M467" s="140">
        <v>15</v>
      </c>
      <c r="P467" s="4" t="s">
        <v>1518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1764</v>
      </c>
      <c r="B468" s="114" t="str">
        <f>VLOOKUP(A468,'Data pick slip'!B:F,5,FALSE)</f>
        <v>KLJ-MC100-00</v>
      </c>
      <c r="F468" s="157" t="s">
        <v>227</v>
      </c>
      <c r="I468" s="390" t="s">
        <v>1429</v>
      </c>
      <c r="J468" s="269" t="s">
        <v>1785</v>
      </c>
      <c r="K468" s="51" t="s">
        <v>225</v>
      </c>
      <c r="L468" s="4">
        <v>45280</v>
      </c>
      <c r="M468" s="140">
        <v>15</v>
      </c>
      <c r="P468" s="4" t="s">
        <v>1765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261</v>
      </c>
      <c r="B469" s="114" t="str">
        <f>VLOOKUP(A469,'Data pick slip'!B:F,5,FALSE)</f>
        <v>KHJ-MC100-00</v>
      </c>
      <c r="F469" s="157" t="s">
        <v>227</v>
      </c>
      <c r="H469" s="138">
        <v>2045</v>
      </c>
      <c r="I469" s="140" t="e">
        <f>VLOOKUP(H469,Stock_list!A:R,18,FALSE)</f>
        <v>#N/A</v>
      </c>
      <c r="J469" s="139" t="e">
        <f>VLOOKUP(H469,Stock_list!A:S,17,FALSE)</f>
        <v>#N/A</v>
      </c>
      <c r="K469" s="51" t="e">
        <f>VLOOKUP(H469,Stock_list!A:T,16,FALSE)</f>
        <v>#N/A</v>
      </c>
      <c r="L469" s="4">
        <v>45315</v>
      </c>
      <c r="M469" s="140">
        <v>40</v>
      </c>
      <c r="P469" s="4" t="e">
        <f>VLOOKUP(H469,Stock_list!A:Y,25,FALSE)</f>
        <v>#N/A</v>
      </c>
      <c r="Q469" s="143"/>
      <c r="T469" s="144"/>
      <c r="U469" s="145" t="e">
        <f>VLOOKUP(H469,Stock_list!A:N,14,FALSE)</f>
        <v>#N/A</v>
      </c>
    </row>
    <row r="470" spans="1:21" ht="16.5" customHeight="1">
      <c r="A470" s="159" t="s">
        <v>264</v>
      </c>
      <c r="B470" s="114" t="str">
        <f>VLOOKUP(A470,'Data pick slip'!B:F,5,FALSE)</f>
        <v>KHJ-MC200-00</v>
      </c>
      <c r="F470" s="157" t="s">
        <v>227</v>
      </c>
      <c r="H470" s="138">
        <v>2045</v>
      </c>
      <c r="I470" s="140" t="e">
        <f>VLOOKUP(H470,Stock_list!A:R,18,FALSE)</f>
        <v>#N/A</v>
      </c>
      <c r="J470" s="139" t="e">
        <f>VLOOKUP(H470,Stock_list!A:S,17,FALSE)</f>
        <v>#N/A</v>
      </c>
      <c r="K470" s="51" t="e">
        <f>VLOOKUP(H470,Stock_list!A:T,16,FALSE)</f>
        <v>#N/A</v>
      </c>
      <c r="L470" s="4">
        <v>45315</v>
      </c>
      <c r="M470" s="140">
        <v>4</v>
      </c>
      <c r="P470" s="4" t="e">
        <f>VLOOKUP(H470,Stock_list!A:Y,25,FALSE)</f>
        <v>#N/A</v>
      </c>
      <c r="Q470" s="143"/>
      <c r="T470" s="144"/>
      <c r="U470" s="145" t="e">
        <f>VLOOKUP(H470,Stock_list!A:N,14,FALSE)</f>
        <v>#N/A</v>
      </c>
    </row>
    <row r="471" spans="1:21" ht="16.5" customHeight="1">
      <c r="A471" s="159" t="s">
        <v>261</v>
      </c>
      <c r="B471" s="114" t="str">
        <f>VLOOKUP(A471,'Data pick slip'!B:F,5,FALSE)</f>
        <v>KHJ-MC100-00</v>
      </c>
      <c r="F471" s="157" t="s">
        <v>227</v>
      </c>
      <c r="H471" s="138">
        <v>2047</v>
      </c>
      <c r="I471" s="140" t="e">
        <f>VLOOKUP(H471,Stock_list!A:R,18,FALSE)</f>
        <v>#N/A</v>
      </c>
      <c r="J471" s="139" t="e">
        <f>VLOOKUP(H471,Stock_list!A:S,17,FALSE)</f>
        <v>#N/A</v>
      </c>
      <c r="K471" s="51" t="e">
        <f>VLOOKUP(H471,Stock_list!A:T,16,FALSE)</f>
        <v>#N/A</v>
      </c>
      <c r="L471" s="4">
        <v>45281</v>
      </c>
      <c r="M471" s="143">
        <v>50</v>
      </c>
      <c r="P471" s="4" t="e">
        <f>VLOOKUP(H471,Stock_list!A:Y,25,FALSE)</f>
        <v>#N/A</v>
      </c>
      <c r="T471" s="144"/>
      <c r="U471" s="145" t="e">
        <f>VLOOKUP(H471,Stock_list!A:N,14,FALSE)</f>
        <v>#N/A</v>
      </c>
    </row>
    <row r="472" spans="1:21" ht="16.5" customHeight="1">
      <c r="A472" s="159" t="s">
        <v>264</v>
      </c>
      <c r="B472" s="114" t="str">
        <f>VLOOKUP(A472,'Data pick slip'!B:F,5,FALSE)</f>
        <v>KHJ-MC200-00</v>
      </c>
      <c r="F472" s="157" t="s">
        <v>227</v>
      </c>
      <c r="H472" s="138">
        <v>2047</v>
      </c>
      <c r="I472" s="140" t="e">
        <f>VLOOKUP(H472,Stock_list!A:R,18,FALSE)</f>
        <v>#N/A</v>
      </c>
      <c r="J472" s="139" t="e">
        <f>VLOOKUP(H472,Stock_list!A:S,17,FALSE)</f>
        <v>#N/A</v>
      </c>
      <c r="K472" s="51" t="e">
        <f>VLOOKUP(H472,Stock_list!A:T,16,FALSE)</f>
        <v>#N/A</v>
      </c>
      <c r="L472" s="4">
        <v>45281</v>
      </c>
      <c r="M472" s="143">
        <v>8</v>
      </c>
      <c r="P472" s="4" t="e">
        <f>VLOOKUP(H472,Stock_list!A:Y,25,FALSE)</f>
        <v>#N/A</v>
      </c>
      <c r="T472" s="144"/>
      <c r="U472" s="145" t="e">
        <f>VLOOKUP(H472,Stock_list!A:N,14,FALSE)</f>
        <v>#N/A</v>
      </c>
    </row>
    <row r="473" spans="1:21" ht="16.5" customHeight="1">
      <c r="A473" s="159" t="s">
        <v>265</v>
      </c>
      <c r="B473" s="114" t="str">
        <f>VLOOKUP(A473,'Data pick slip'!B:F,5,FALSE)</f>
        <v>KHJ-MC400-00</v>
      </c>
      <c r="F473" s="157" t="s">
        <v>270</v>
      </c>
      <c r="H473" s="138">
        <v>2047</v>
      </c>
      <c r="I473" s="140" t="e">
        <f>VLOOKUP(H473,Stock_list!A:R,18,FALSE)</f>
        <v>#N/A</v>
      </c>
      <c r="J473" s="139" t="e">
        <f>VLOOKUP(H473,Stock_list!A:S,17,FALSE)</f>
        <v>#N/A</v>
      </c>
      <c r="K473" s="51" t="e">
        <f>VLOOKUP(H473,Stock_list!A:T,16,FALSE)</f>
        <v>#N/A</v>
      </c>
      <c r="L473" s="4">
        <v>45281</v>
      </c>
      <c r="M473" s="143">
        <v>2</v>
      </c>
      <c r="P473" s="4" t="e">
        <f>VLOOKUP(H473,Stock_list!A:Y,25,FALSE)</f>
        <v>#N/A</v>
      </c>
      <c r="S473" s="268" t="s">
        <v>295</v>
      </c>
      <c r="T473" s="266" t="s">
        <v>1767</v>
      </c>
      <c r="U473" s="145" t="e">
        <f>VLOOKUP(H473,Stock_list!A:N,14,FALSE)</f>
        <v>#N/A</v>
      </c>
    </row>
    <row r="474" spans="1:21" ht="16.5" customHeight="1">
      <c r="A474" s="159" t="s">
        <v>261</v>
      </c>
      <c r="B474" s="114" t="str">
        <f>VLOOKUP(A474,'Data pick slip'!B:F,5,FALSE)</f>
        <v>KHJ-MC100-00</v>
      </c>
      <c r="F474" s="157" t="s">
        <v>227</v>
      </c>
      <c r="H474" s="138">
        <v>2050</v>
      </c>
      <c r="I474" s="140" t="e">
        <f>VLOOKUP(H474,Stock_list!A:R,18,FALSE)</f>
        <v>#N/A</v>
      </c>
      <c r="J474" s="139" t="e">
        <f>VLOOKUP(H474,Stock_list!A:S,17,FALSE)</f>
        <v>#N/A</v>
      </c>
      <c r="K474" s="51" t="e">
        <f>VLOOKUP(H474,Stock_list!A:T,16,FALSE)</f>
        <v>#N/A</v>
      </c>
      <c r="L474" s="4">
        <v>45314</v>
      </c>
      <c r="M474" s="140">
        <v>44</v>
      </c>
      <c r="N474" s="143"/>
      <c r="P474" s="4" t="e">
        <f>VLOOKUP(H474,Stock_list!A:Y,25,FALSE)</f>
        <v>#N/A</v>
      </c>
      <c r="T474" s="144"/>
      <c r="U474" s="145" t="e">
        <f>VLOOKUP(H474,Stock_list!A:N,14,FALSE)</f>
        <v>#N/A</v>
      </c>
    </row>
    <row r="475" spans="1:21" ht="16.5" customHeight="1">
      <c r="A475" s="159" t="s">
        <v>264</v>
      </c>
      <c r="B475" s="114" t="str">
        <f>VLOOKUP(A475,'Data pick slip'!B:F,5,FALSE)</f>
        <v>KHJ-MC200-00</v>
      </c>
      <c r="F475" s="157" t="s">
        <v>227</v>
      </c>
      <c r="H475" s="138">
        <v>2050</v>
      </c>
      <c r="I475" s="140" t="e">
        <f>VLOOKUP(H475,Stock_list!A:R,18,FALSE)</f>
        <v>#N/A</v>
      </c>
      <c r="J475" s="139" t="e">
        <f>VLOOKUP(H475,Stock_list!A:S,17,FALSE)</f>
        <v>#N/A</v>
      </c>
      <c r="K475" s="51" t="e">
        <f>VLOOKUP(H475,Stock_list!A:T,16,FALSE)</f>
        <v>#N/A</v>
      </c>
      <c r="L475" s="4">
        <v>45314</v>
      </c>
      <c r="M475" s="140">
        <v>16</v>
      </c>
      <c r="N475" s="143"/>
      <c r="P475" s="4" t="e">
        <f>VLOOKUP(H475,Stock_list!A:Y,25,FALSE)</f>
        <v>#N/A</v>
      </c>
      <c r="T475" s="144"/>
      <c r="U475" s="145" t="e">
        <f>VLOOKUP(H475,Stock_list!A:N,14,FALSE)</f>
        <v>#N/A</v>
      </c>
    </row>
    <row r="476" spans="1:21" ht="16.5" customHeight="1">
      <c r="A476" s="159" t="s">
        <v>261</v>
      </c>
      <c r="B476" s="114" t="str">
        <f>VLOOKUP(A476,'Data pick slip'!B:F,5,FALSE)</f>
        <v>KHJ-MC100-00</v>
      </c>
      <c r="F476" s="157" t="s">
        <v>227</v>
      </c>
      <c r="H476" s="138">
        <v>2058</v>
      </c>
      <c r="I476" s="140" t="e">
        <f>VLOOKUP(H476,Stock_list!A:R,18,FALSE)</f>
        <v>#N/A</v>
      </c>
      <c r="J476" s="139" t="e">
        <f>VLOOKUP(H476,Stock_list!A:S,17,FALSE)</f>
        <v>#N/A</v>
      </c>
      <c r="K476" s="51" t="e">
        <f>VLOOKUP(H476,Stock_list!A:T,16,FALSE)</f>
        <v>#N/A</v>
      </c>
      <c r="L476" s="4">
        <v>45306</v>
      </c>
      <c r="M476" s="143">
        <v>30</v>
      </c>
      <c r="P476" s="4" t="e">
        <f>VLOOKUP(H476,Stock_list!A:Y,25,FALSE)</f>
        <v>#N/A</v>
      </c>
      <c r="T476" s="144"/>
      <c r="U476" s="145" t="e">
        <f>VLOOKUP(H476,Stock_list!A:N,14,FALSE)</f>
        <v>#N/A</v>
      </c>
    </row>
    <row r="477" spans="1:21" ht="16.5" customHeight="1">
      <c r="A477" s="159" t="s">
        <v>264</v>
      </c>
      <c r="B477" s="114" t="str">
        <f>VLOOKUP(A477,'Data pick slip'!B:F,5,FALSE)</f>
        <v>KHJ-MC200-00</v>
      </c>
      <c r="F477" s="157" t="s">
        <v>227</v>
      </c>
      <c r="H477" s="138">
        <v>2058</v>
      </c>
      <c r="I477" s="140" t="e">
        <f>VLOOKUP(H477,Stock_list!A:R,18,FALSE)</f>
        <v>#N/A</v>
      </c>
      <c r="J477" s="139" t="e">
        <f>VLOOKUP(H477,Stock_list!A:S,17,FALSE)</f>
        <v>#N/A</v>
      </c>
      <c r="K477" s="51" t="e">
        <f>VLOOKUP(H477,Stock_list!A:T,16,FALSE)</f>
        <v>#N/A</v>
      </c>
      <c r="L477" s="4">
        <v>45306</v>
      </c>
      <c r="M477" s="143">
        <v>10</v>
      </c>
      <c r="P477" s="4" t="e">
        <f>VLOOKUP(H477,Stock_list!A:Y,25,FALSE)</f>
        <v>#N/A</v>
      </c>
      <c r="T477" s="144"/>
      <c r="U477" s="145" t="e">
        <f>VLOOKUP(H477,Stock_list!A:N,14,FALSE)</f>
        <v>#N/A</v>
      </c>
    </row>
    <row r="478" spans="1:21" ht="28.5" customHeight="1">
      <c r="A478" s="159" t="s">
        <v>261</v>
      </c>
      <c r="B478" s="114" t="str">
        <f>VLOOKUP(A478,'Data pick slip'!B:F,5,FALSE)</f>
        <v>KHJ-MC100-00</v>
      </c>
      <c r="F478" s="157" t="s">
        <v>270</v>
      </c>
      <c r="H478" s="138" t="s">
        <v>1810</v>
      </c>
      <c r="I478" s="140">
        <v>66</v>
      </c>
      <c r="J478" s="381" t="s">
        <v>1812</v>
      </c>
      <c r="K478" s="51" t="s">
        <v>1811</v>
      </c>
      <c r="L478" s="4">
        <v>45294</v>
      </c>
      <c r="M478" s="140">
        <v>10</v>
      </c>
      <c r="P478" s="4" t="s">
        <v>1708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268</v>
      </c>
      <c r="B479" s="114" t="str">
        <f>VLOOKUP(A479,'Data pick slip'!B:F,5,FALSE)</f>
        <v>KHJ-MC700-00</v>
      </c>
      <c r="F479" s="157" t="s">
        <v>270</v>
      </c>
      <c r="H479" s="138" t="s">
        <v>1810</v>
      </c>
      <c r="I479" s="140">
        <v>66</v>
      </c>
      <c r="J479" s="269" t="s">
        <v>1813</v>
      </c>
      <c r="K479" s="51" t="s">
        <v>1811</v>
      </c>
      <c r="L479" s="4">
        <v>45294</v>
      </c>
      <c r="M479" s="140">
        <v>1</v>
      </c>
      <c r="P479" s="4" t="s">
        <v>1708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272</v>
      </c>
      <c r="B480" s="114" t="str">
        <f>VLOOKUP(A480,'Data pick slip'!B:F,5,FALSE)</f>
        <v>KLJ-MC100-00</v>
      </c>
      <c r="F480" s="157" t="s">
        <v>227</v>
      </c>
      <c r="H480" s="138" t="s">
        <v>1818</v>
      </c>
      <c r="I480" s="140">
        <v>66</v>
      </c>
      <c r="J480" s="267" t="s">
        <v>1823</v>
      </c>
      <c r="K480" s="51" t="s">
        <v>1819</v>
      </c>
      <c r="L480" s="291">
        <v>45316</v>
      </c>
      <c r="M480" s="132">
        <v>120</v>
      </c>
      <c r="P480" s="4" t="s">
        <v>1518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273</v>
      </c>
      <c r="B481" s="114" t="str">
        <f>VLOOKUP(A481,'Data pick slip'!B:F,5,FALSE)</f>
        <v>KLJ-MC200-00</v>
      </c>
      <c r="F481" s="157" t="s">
        <v>227</v>
      </c>
      <c r="H481" s="138" t="s">
        <v>1818</v>
      </c>
      <c r="I481" s="140">
        <v>66</v>
      </c>
      <c r="J481" s="267" t="s">
        <v>1823</v>
      </c>
      <c r="K481" s="51" t="s">
        <v>1819</v>
      </c>
      <c r="L481" s="291">
        <v>45316</v>
      </c>
      <c r="M481" s="132">
        <v>14</v>
      </c>
      <c r="P481" s="4" t="s">
        <v>1518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274</v>
      </c>
      <c r="B482" s="114" t="str">
        <f>VLOOKUP(A482,'Data pick slip'!B:F,5,FALSE)</f>
        <v>KLJ-MC400-00</v>
      </c>
      <c r="F482" s="157" t="s">
        <v>227</v>
      </c>
      <c r="H482" s="138" t="s">
        <v>1818</v>
      </c>
      <c r="I482" s="140">
        <v>66</v>
      </c>
      <c r="J482" s="267" t="s">
        <v>1823</v>
      </c>
      <c r="K482" s="51" t="s">
        <v>1819</v>
      </c>
      <c r="L482" s="291">
        <v>45316</v>
      </c>
      <c r="M482" s="132">
        <v>5</v>
      </c>
      <c r="P482" s="4" t="s">
        <v>1518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</v>
      </c>
      <c r="B483" s="114" t="str">
        <f>VLOOKUP(A483,'Data pick slip'!B:F,5,FALSE)</f>
        <v>KLJ-MC500-00</v>
      </c>
      <c r="F483" s="157" t="s">
        <v>227</v>
      </c>
      <c r="H483" s="138" t="s">
        <v>1818</v>
      </c>
      <c r="I483" s="140">
        <v>66</v>
      </c>
      <c r="J483" s="267" t="s">
        <v>1823</v>
      </c>
      <c r="K483" s="51" t="s">
        <v>1819</v>
      </c>
      <c r="L483" s="291">
        <v>45316</v>
      </c>
      <c r="M483" s="132">
        <v>3</v>
      </c>
      <c r="P483" s="4" t="s">
        <v>1518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276</v>
      </c>
      <c r="B484" s="114" t="str">
        <f>VLOOKUP(A484,'Data pick slip'!B:F,5,FALSE)</f>
        <v>KLJ-MC600-00</v>
      </c>
      <c r="F484" s="157" t="s">
        <v>227</v>
      </c>
      <c r="H484" s="138" t="s">
        <v>1818</v>
      </c>
      <c r="I484" s="140">
        <v>66</v>
      </c>
      <c r="J484" s="267" t="s">
        <v>1823</v>
      </c>
      <c r="K484" s="51" t="s">
        <v>1819</v>
      </c>
      <c r="L484" s="291">
        <v>45316</v>
      </c>
      <c r="M484" s="132">
        <v>2</v>
      </c>
      <c r="P484" s="4" t="s">
        <v>1518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261</v>
      </c>
      <c r="B485" s="114" t="str">
        <f>VLOOKUP(A485,'Data pick slip'!B:F,5,FALSE)</f>
        <v>KHJ-MC100-00</v>
      </c>
      <c r="F485" s="157" t="s">
        <v>227</v>
      </c>
      <c r="H485" s="138">
        <v>2061</v>
      </c>
      <c r="I485" s="140" t="str">
        <f>VLOOKUP(H485,Stock_list!A:R,18,FALSE)</f>
        <v>豫龙辉</v>
      </c>
      <c r="J485" s="139" t="str">
        <f>VLOOKUP(H485,Stock_list!A:S,17,FALSE)</f>
        <v>C49SZX20240001JY</v>
      </c>
      <c r="K485" s="51" t="str">
        <f>VLOOKUP(H485,Stock_list!A:T,16,FALSE)</f>
        <v>JPY</v>
      </c>
      <c r="L485" s="4"/>
      <c r="N485" s="132">
        <v>20</v>
      </c>
      <c r="P485" s="4" t="str">
        <f>VLOOKUP(H485,Stock_list!A:Y,25,FALSE)</f>
        <v>Yes</v>
      </c>
      <c r="Q485" s="143"/>
      <c r="T485" s="144"/>
      <c r="U485" s="145" t="str">
        <f>VLOOKUP(H485,Stock_list!A:N,14,FALSE)</f>
        <v>FEB 24</v>
      </c>
    </row>
    <row r="486" spans="1:21" ht="16.5" customHeight="1">
      <c r="A486" s="159" t="s">
        <v>264</v>
      </c>
      <c r="B486" s="114" t="str">
        <f>VLOOKUP(A486,'Data pick slip'!B:F,5,FALSE)</f>
        <v>KHJ-MC200-00</v>
      </c>
      <c r="F486" s="157" t="s">
        <v>227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/>
      <c r="N486" s="132">
        <v>3</v>
      </c>
      <c r="P486" s="4" t="str">
        <f>VLOOKUP(H486,Stock_list!A:Y,25,FALSE)</f>
        <v>Yes</v>
      </c>
      <c r="Q486" s="143"/>
      <c r="T486" s="144"/>
      <c r="U486" s="145" t="str">
        <f>VLOOKUP(H486,Stock_list!A:N,14,FALSE)</f>
        <v>FEB 24</v>
      </c>
    </row>
    <row r="487" spans="1:21" ht="16.5" customHeight="1">
      <c r="A487" s="159" t="s">
        <v>261</v>
      </c>
      <c r="B487" s="114" t="str">
        <f>VLOOKUP(A487,'Data pick slip'!B:F,5,FALSE)</f>
        <v>KHJ-MC100-00</v>
      </c>
      <c r="F487" s="157" t="s">
        <v>270</v>
      </c>
      <c r="H487" s="138" t="s">
        <v>1832</v>
      </c>
      <c r="I487" s="140">
        <v>66</v>
      </c>
      <c r="J487" s="139" t="s">
        <v>1831</v>
      </c>
      <c r="K487" s="51" t="s">
        <v>1833</v>
      </c>
      <c r="L487" s="4">
        <v>45303</v>
      </c>
      <c r="M487" s="140">
        <v>20</v>
      </c>
      <c r="P487" s="4" t="s">
        <v>1708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267</v>
      </c>
      <c r="B488" s="114" t="str">
        <f>VLOOKUP(A488,'Data pick slip'!B:F,5,FALSE)</f>
        <v>KHJ-MC600-00</v>
      </c>
      <c r="F488" s="157" t="s">
        <v>270</v>
      </c>
      <c r="H488" s="138" t="s">
        <v>1832</v>
      </c>
      <c r="I488" s="140">
        <v>66</v>
      </c>
      <c r="J488" s="139" t="s">
        <v>1831</v>
      </c>
      <c r="K488" s="51" t="s">
        <v>1833</v>
      </c>
      <c r="L488" s="4">
        <v>45303</v>
      </c>
      <c r="M488" s="140">
        <v>1</v>
      </c>
      <c r="P488" s="4" t="s">
        <v>1708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268</v>
      </c>
      <c r="B489" s="114" t="str">
        <f>VLOOKUP(A489,'Data pick slip'!B:F,5,FALSE)</f>
        <v>KHJ-MC700-00</v>
      </c>
      <c r="F489" s="157" t="s">
        <v>270</v>
      </c>
      <c r="H489" s="138" t="s">
        <v>1832</v>
      </c>
      <c r="I489" s="140">
        <v>66</v>
      </c>
      <c r="J489" s="139" t="s">
        <v>1831</v>
      </c>
      <c r="K489" s="51" t="s">
        <v>1833</v>
      </c>
      <c r="L489" s="4">
        <v>45303</v>
      </c>
      <c r="M489" s="140">
        <v>1</v>
      </c>
      <c r="P489" s="4" t="s">
        <v>1708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274</v>
      </c>
      <c r="B490" s="114" t="str">
        <f>VLOOKUP(A490,'Data pick slip'!B:F,5,FALSE)</f>
        <v>KLJ-MC400-00</v>
      </c>
      <c r="F490" s="157" t="s">
        <v>227</v>
      </c>
      <c r="H490" s="138" t="s">
        <v>1836</v>
      </c>
      <c r="I490" s="140">
        <v>66</v>
      </c>
      <c r="J490" s="139" t="s">
        <v>1835</v>
      </c>
      <c r="K490" s="51" t="s">
        <v>225</v>
      </c>
      <c r="L490" s="291">
        <v>45316</v>
      </c>
      <c r="M490" s="140">
        <v>3</v>
      </c>
      <c r="N490" s="140"/>
      <c r="P490" s="4" t="s">
        <v>1518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</v>
      </c>
      <c r="B491" s="114" t="str">
        <f>VLOOKUP(A491,'Data pick slip'!B:F,5,FALSE)</f>
        <v>KLJ-MC500-00</v>
      </c>
      <c r="F491" s="157" t="s">
        <v>227</v>
      </c>
      <c r="H491" s="138" t="s">
        <v>1836</v>
      </c>
      <c r="I491" s="140">
        <v>66</v>
      </c>
      <c r="J491" s="139" t="s">
        <v>1835</v>
      </c>
      <c r="K491" s="51" t="s">
        <v>225</v>
      </c>
      <c r="L491" s="291">
        <v>45316</v>
      </c>
      <c r="M491" s="140">
        <v>2</v>
      </c>
      <c r="N491" s="140"/>
      <c r="P491" s="4" t="s">
        <v>1518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261</v>
      </c>
      <c r="B492" s="114" t="str">
        <f>VLOOKUP(A492,'Data pick slip'!B:F,5,FALSE)</f>
        <v>KHJ-MC100-00</v>
      </c>
      <c r="F492" s="157" t="s">
        <v>270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264</v>
      </c>
      <c r="B493" s="114" t="str">
        <f>VLOOKUP(A493,'Data pick slip'!B:F,5,FALSE)</f>
        <v>KHJ-MC200-00</v>
      </c>
      <c r="F493" s="157" t="s">
        <v>270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265</v>
      </c>
      <c r="B494" s="114" t="str">
        <f>VLOOKUP(A494,'Data pick slip'!B:F,5,FALSE)</f>
        <v>KHJ-MC400-00</v>
      </c>
      <c r="F494" s="157" t="s">
        <v>270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266</v>
      </c>
      <c r="B495" s="114" t="str">
        <f>VLOOKUP(A495,'Data pick slip'!B:F,5,FALSE)</f>
        <v>KHJ-MC500-00</v>
      </c>
      <c r="F495" s="157" t="s">
        <v>270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267</v>
      </c>
      <c r="B496" s="114" t="str">
        <f>VLOOKUP(A496,'Data pick slip'!B:F,5,FALSE)</f>
        <v>KHJ-MC600-00</v>
      </c>
      <c r="F496" s="157" t="s">
        <v>270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261</v>
      </c>
      <c r="B497" s="114" t="str">
        <f>VLOOKUP(A497,'Data pick slip'!B:F,5,FALSE)</f>
        <v>KHJ-MC100-00</v>
      </c>
      <c r="F497" s="157" t="s">
        <v>270</v>
      </c>
      <c r="H497" s="138">
        <v>2063</v>
      </c>
      <c r="I497" s="615" t="e">
        <f>VLOOKUP(H497,Stock_list!A:R,18,FALSE)</f>
        <v>#N/A</v>
      </c>
      <c r="J497" s="616" t="e">
        <f>VLOOKUP(H497,Stock_list!A:S,17,FALSE)</f>
        <v>#N/A</v>
      </c>
      <c r="K497" s="617" t="e">
        <f>VLOOKUP(H497,Stock_list!A:T,16,FALSE)</f>
        <v>#N/A</v>
      </c>
      <c r="L497" s="618">
        <v>45320</v>
      </c>
      <c r="M497" s="615">
        <v>2</v>
      </c>
      <c r="N497" s="619"/>
      <c r="O497" s="621"/>
      <c r="P497" s="618" t="e">
        <f>VLOOKUP(H497,Stock_list!A:Y,25,FALSE)</f>
        <v>#N/A</v>
      </c>
      <c r="Q497" s="621"/>
      <c r="R497" s="622"/>
      <c r="S497" s="623" t="s">
        <v>1858</v>
      </c>
      <c r="T497" s="144"/>
      <c r="U497" s="145" t="e">
        <f>VLOOKUP(H497,Stock_list!A:N,14,FALSE)</f>
        <v>#N/A</v>
      </c>
    </row>
    <row r="498" spans="1:21" ht="16.5" customHeight="1">
      <c r="A498" s="159" t="s">
        <v>265</v>
      </c>
      <c r="B498" s="114" t="str">
        <f>VLOOKUP(A498,'Data pick slip'!B:F,5,FALSE)</f>
        <v>KHJ-MC400-00</v>
      </c>
      <c r="F498" s="157" t="s">
        <v>270</v>
      </c>
      <c r="H498" s="138" t="s">
        <v>1865</v>
      </c>
      <c r="I498" s="140">
        <v>66</v>
      </c>
      <c r="J498" s="267" t="s">
        <v>1841</v>
      </c>
      <c r="K498" s="51" t="s">
        <v>1842</v>
      </c>
      <c r="L498" s="4">
        <v>45313</v>
      </c>
      <c r="M498" s="140">
        <v>2</v>
      </c>
      <c r="P498" s="4" t="s">
        <v>1708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265</v>
      </c>
      <c r="B499" s="114" t="str">
        <f>VLOOKUP(A499,'Data pick slip'!B:F,5,FALSE)</f>
        <v>KHJ-MC400-00</v>
      </c>
      <c r="F499" s="157" t="s">
        <v>270</v>
      </c>
      <c r="H499" s="138" t="s">
        <v>1865</v>
      </c>
      <c r="I499" s="140">
        <v>66</v>
      </c>
      <c r="J499" s="267" t="s">
        <v>1845</v>
      </c>
      <c r="K499" s="51" t="s">
        <v>1842</v>
      </c>
      <c r="L499" s="4">
        <v>45313</v>
      </c>
      <c r="M499" s="140">
        <v>1</v>
      </c>
      <c r="P499" s="4" t="s">
        <v>1708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267</v>
      </c>
      <c r="B500" s="114" t="str">
        <f>VLOOKUP(A500,'Data pick slip'!B:F,5,FALSE)</f>
        <v>KHJ-MC600-00</v>
      </c>
      <c r="F500" s="157" t="s">
        <v>270</v>
      </c>
      <c r="H500" s="138" t="s">
        <v>1865</v>
      </c>
      <c r="I500" s="140">
        <v>66</v>
      </c>
      <c r="J500" s="267" t="s">
        <v>1845</v>
      </c>
      <c r="K500" s="51" t="s">
        <v>1842</v>
      </c>
      <c r="L500" s="4"/>
      <c r="M500" s="140">
        <v>1</v>
      </c>
      <c r="P500" s="4" t="s">
        <v>1708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272</v>
      </c>
      <c r="B501" s="114" t="str">
        <f>VLOOKUP(A501,'Data pick slip'!B:F,5,FALSE)</f>
        <v>KLJ-MC100-00</v>
      </c>
      <c r="F501" s="157" t="s">
        <v>227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FEB 24</v>
      </c>
    </row>
    <row r="502" spans="1:21" ht="17.25" customHeight="1">
      <c r="A502" s="159" t="s">
        <v>272</v>
      </c>
      <c r="B502" s="114" t="str">
        <f>VLOOKUP(A502,'Data pick slip'!B:F,5,FALSE)</f>
        <v>KLJ-MC100-00</v>
      </c>
      <c r="F502" s="157" t="s">
        <v>279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272</v>
      </c>
      <c r="B503" s="114" t="str">
        <f>VLOOKUP(A503,'Data pick slip'!B:F,5,FALSE)</f>
        <v>KLJ-MC100-00</v>
      </c>
      <c r="F503" s="157" t="s">
        <v>270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>
        <f>VLOOKUP(H503,Stock_list!A:N,14,FALSE)</f>
        <v>0</v>
      </c>
    </row>
    <row r="504" spans="1:21" ht="16.5" customHeight="1">
      <c r="A504" s="159" t="s">
        <v>261</v>
      </c>
      <c r="B504" s="114" t="str">
        <f>VLOOKUP(A504,'Data pick slip'!B:F,5,FALSE)</f>
        <v>KHJ-MC100-00</v>
      </c>
      <c r="F504" s="157" t="s">
        <v>270</v>
      </c>
      <c r="H504" s="138">
        <v>2081</v>
      </c>
      <c r="I504" s="615" t="e">
        <f>VLOOKUP(H504,Stock_list!A:R,18,FALSE)</f>
        <v>#N/A</v>
      </c>
      <c r="J504" s="616" t="e">
        <f>VLOOKUP(H504,Stock_list!A:S,17,FALSE)</f>
        <v>#N/A</v>
      </c>
      <c r="K504" s="617" t="e">
        <f>VLOOKUP(H504,Stock_list!A:T,16,FALSE)</f>
        <v>#N/A</v>
      </c>
      <c r="L504" s="618">
        <v>45323</v>
      </c>
      <c r="M504" s="619">
        <v>123</v>
      </c>
      <c r="N504" s="621"/>
      <c r="O504" s="621"/>
      <c r="P504" s="618" t="e">
        <f>VLOOKUP(H504,Stock_list!A:Y,25,FALSE)</f>
        <v>#N/A</v>
      </c>
      <c r="Q504" s="621"/>
      <c r="R504" s="622"/>
      <c r="S504" s="623" t="s">
        <v>1858</v>
      </c>
      <c r="T504" s="144"/>
      <c r="U504" s="145" t="e">
        <f>VLOOKUP(H504,Stock_list!A:N,14,FALSE)</f>
        <v>#N/A</v>
      </c>
    </row>
    <row r="505" spans="1:21" ht="16.5" customHeight="1">
      <c r="A505" s="159" t="s">
        <v>261</v>
      </c>
      <c r="B505" s="114" t="str">
        <f>VLOOKUP(A505,'Data pick slip'!B:F,5,FALSE)</f>
        <v>KHJ-MC100-00</v>
      </c>
      <c r="F505" s="157" t="s">
        <v>227</v>
      </c>
      <c r="H505" s="138">
        <v>2081</v>
      </c>
      <c r="I505" s="140" t="e">
        <f>VLOOKUP(H505,Stock_list!A:R,18,FALSE)</f>
        <v>#N/A</v>
      </c>
      <c r="J505" s="139" t="e">
        <f>VLOOKUP(H505,Stock_list!A:S,17,FALSE)</f>
        <v>#N/A</v>
      </c>
      <c r="K505" s="51" t="e">
        <f>VLOOKUP(H505,Stock_list!A:T,16,FALSE)</f>
        <v>#N/A</v>
      </c>
      <c r="L505" s="4">
        <v>45323</v>
      </c>
      <c r="M505" s="143">
        <v>1</v>
      </c>
      <c r="P505" s="4" t="e">
        <f>VLOOKUP(H505,Stock_list!A:Y,25,FALSE)</f>
        <v>#N/A</v>
      </c>
      <c r="S505" s="544"/>
      <c r="T505" s="144"/>
      <c r="U505" s="145" t="e">
        <f>VLOOKUP(H505,Stock_list!A:N,14,FALSE)</f>
        <v>#N/A</v>
      </c>
    </row>
    <row r="506" spans="1:21" ht="16.5" customHeight="1">
      <c r="A506" s="159" t="s">
        <v>266</v>
      </c>
      <c r="B506" s="114" t="str">
        <f>VLOOKUP(A506,'Data pick slip'!B:F,5,FALSE)</f>
        <v>KHJ-MC500-00</v>
      </c>
      <c r="F506" s="157" t="s">
        <v>227</v>
      </c>
      <c r="H506" s="138">
        <v>2081</v>
      </c>
      <c r="I506" s="140" t="e">
        <f>VLOOKUP(H506,Stock_list!A:R,18,FALSE)</f>
        <v>#N/A</v>
      </c>
      <c r="J506" s="139" t="e">
        <f>VLOOKUP(H506,Stock_list!A:S,17,FALSE)</f>
        <v>#N/A</v>
      </c>
      <c r="K506" s="51" t="e">
        <f>VLOOKUP(H506,Stock_list!A:T,16,FALSE)</f>
        <v>#N/A</v>
      </c>
      <c r="L506" s="4">
        <v>45323</v>
      </c>
      <c r="M506" s="143">
        <v>1</v>
      </c>
      <c r="P506" s="4" t="e">
        <f>VLOOKUP(H506,Stock_list!A:Y,25,FALSE)</f>
        <v>#N/A</v>
      </c>
      <c r="T506" s="144"/>
      <c r="U506" s="145" t="e">
        <f>VLOOKUP(H506,Stock_list!A:N,14,FALSE)</f>
        <v>#N/A</v>
      </c>
    </row>
    <row r="507" spans="1:21" ht="16.5" customHeight="1">
      <c r="A507" s="159" t="s">
        <v>261</v>
      </c>
      <c r="B507" s="114" t="str">
        <f>VLOOKUP(A507,'Data pick slip'!B:F,5,FALSE)</f>
        <v>KHJ-MC100-00</v>
      </c>
      <c r="F507" s="157" t="s">
        <v>227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/>
      <c r="N507" s="132">
        <v>20</v>
      </c>
      <c r="P507" s="4" t="str">
        <f>VLOOKUP(H507,Stock_list!A:Y,25,FALSE)</f>
        <v>Yes</v>
      </c>
      <c r="Q507" s="143"/>
      <c r="T507" s="144"/>
      <c r="U507" s="145" t="str">
        <f>VLOOKUP(H507,Stock_list!A:N,14,FALSE)</f>
        <v>FEB 24</v>
      </c>
    </row>
    <row r="508" spans="1:21" ht="16.5" customHeight="1">
      <c r="A508" s="159" t="s">
        <v>261</v>
      </c>
      <c r="B508" s="114" t="str">
        <f>VLOOKUP(A508,'Data pick slip'!B:F,5,FALSE)</f>
        <v>KHJ-MC100-00</v>
      </c>
      <c r="F508" s="157" t="s">
        <v>227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264</v>
      </c>
      <c r="B509" s="114" t="str">
        <f>VLOOKUP(A509,'Data pick slip'!B:F,5,FALSE)</f>
        <v>KHJ-MC200-00</v>
      </c>
      <c r="F509" s="157" t="s">
        <v>227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265</v>
      </c>
      <c r="B510" s="114" t="str">
        <f>VLOOKUP(A510,'Data pick slip'!B:F,5,FALSE)</f>
        <v>KHJ-MC400-00</v>
      </c>
      <c r="F510" s="157" t="s">
        <v>227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266</v>
      </c>
      <c r="B511" s="114" t="str">
        <f>VLOOKUP(A511,'Data pick slip'!B:F,5,FALSE)</f>
        <v>KHJ-MC500-00</v>
      </c>
      <c r="F511" s="157" t="s">
        <v>227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261</v>
      </c>
      <c r="B512" s="114" t="str">
        <f>VLOOKUP(A512,'Data pick slip'!B:F,5,FALSE)</f>
        <v>KHJ-MC100-00</v>
      </c>
      <c r="F512" s="157" t="s">
        <v>227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/>
      <c r="N512" s="143">
        <v>28</v>
      </c>
      <c r="P512" s="4" t="str">
        <f>VLOOKUP(H512,Stock_list!A:Y,25,FALSE)</f>
        <v>Yes</v>
      </c>
      <c r="T512" s="144"/>
      <c r="U512" s="145" t="str">
        <f>VLOOKUP(H512,Stock_list!A:N,14,FALSE)</f>
        <v>FEB 24</v>
      </c>
    </row>
    <row r="513" spans="1:21" ht="16.5" customHeight="1">
      <c r="A513" s="159" t="s">
        <v>261</v>
      </c>
      <c r="B513" s="114" t="str">
        <f>VLOOKUP(A513,'Data pick slip'!B:F,5,FALSE)</f>
        <v>KHJ-MC100-00</v>
      </c>
      <c r="F513" s="157" t="s">
        <v>279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 t="str">
        <f>VLOOKUP(H513,Stock_list!A:N,14,FALSE)</f>
        <v>FEB 24</v>
      </c>
    </row>
    <row r="514" spans="1:21" ht="16.5" customHeight="1">
      <c r="A514" s="159" t="s">
        <v>264</v>
      </c>
      <c r="B514" s="114" t="str">
        <f>VLOOKUP(A514,'Data pick slip'!B:F,5,FALSE)</f>
        <v>KHJ-MC200-00</v>
      </c>
      <c r="F514" s="157" t="s">
        <v>279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 t="str">
        <f>VLOOKUP(H514,Stock_list!A:N,14,FALSE)</f>
        <v>FEB 24</v>
      </c>
    </row>
    <row r="515" spans="1:21" ht="16.5" customHeight="1">
      <c r="A515" s="159" t="s">
        <v>265</v>
      </c>
      <c r="B515" s="114" t="str">
        <f>VLOOKUP(A515,'Data pick slip'!B:F,5,FALSE)</f>
        <v>KHJ-MC400-00</v>
      </c>
      <c r="F515" s="157" t="s">
        <v>279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 t="str">
        <f>VLOOKUP(H515,Stock_list!A:N,14,FALSE)</f>
        <v>FEB 24</v>
      </c>
    </row>
    <row r="516" spans="1:21" ht="16.5" customHeight="1">
      <c r="A516" s="159" t="s">
        <v>276</v>
      </c>
      <c r="B516" s="114" t="str">
        <f>VLOOKUP(A516,'Data pick slip'!B:F,5,FALSE)</f>
        <v>KLJ-MC600-00</v>
      </c>
      <c r="F516" s="157" t="s">
        <v>227</v>
      </c>
      <c r="H516" s="138" t="s">
        <v>1868</v>
      </c>
      <c r="I516" s="140">
        <v>66</v>
      </c>
      <c r="J516" s="139" t="s">
        <v>1866</v>
      </c>
      <c r="K516" s="51" t="s">
        <v>1870</v>
      </c>
      <c r="L516" s="4">
        <v>45296</v>
      </c>
      <c r="M516" s="140">
        <v>1</v>
      </c>
      <c r="P516" s="4" t="s">
        <v>1869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276</v>
      </c>
      <c r="B517" s="114" t="str">
        <f>VLOOKUP(A517,'Data pick slip'!B:F,5,FALSE)</f>
        <v>KLJ-MC600-00</v>
      </c>
      <c r="F517" s="157" t="s">
        <v>227</v>
      </c>
      <c r="H517" s="138" t="s">
        <v>1868</v>
      </c>
      <c r="I517" s="140">
        <v>66</v>
      </c>
      <c r="J517" s="139" t="s">
        <v>1867</v>
      </c>
      <c r="K517" s="51" t="s">
        <v>1870</v>
      </c>
      <c r="L517" s="4">
        <v>45308</v>
      </c>
      <c r="M517" s="140">
        <v>1</v>
      </c>
      <c r="P517" s="4" t="s">
        <v>1869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/>
      <c r="B518" s="114" t="e">
        <f>VLOOKUP(A518,'Data pick slip'!B:F,5,FALSE)</f>
        <v>#N/A</v>
      </c>
      <c r="I518" s="140" t="e">
        <f>VLOOKUP(H518,Stock_list!A:R,18,FALSE)</f>
        <v>#N/A</v>
      </c>
      <c r="J518" s="139" t="e">
        <f>VLOOKUP(H518,Stock_list!A:S,17,FALSE)</f>
        <v>#N/A</v>
      </c>
      <c r="K518" s="51" t="e">
        <f>VLOOKUP(H518,Stock_list!A:T,16,FALSE)</f>
        <v>#N/A</v>
      </c>
      <c r="L518" s="4"/>
      <c r="P518" s="4" t="e">
        <f>VLOOKUP(H518,Stock_list!A:Y,25,FALSE)</f>
        <v>#N/A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/>
      <c r="B519" s="114" t="e">
        <f>VLOOKUP(A519,'Data pick slip'!B:F,5,FALSE)</f>
        <v>#N/A</v>
      </c>
      <c r="I519" s="140" t="e">
        <f>VLOOKUP(H519,Stock_list!A:R,18,FALSE)</f>
        <v>#N/A</v>
      </c>
      <c r="J519" s="139" t="e">
        <f>VLOOKUP(H519,Stock_list!A:S,17,FALSE)</f>
        <v>#N/A</v>
      </c>
      <c r="K519" s="51" t="e">
        <f>VLOOKUP(H519,Stock_list!A:T,16,FALSE)</f>
        <v>#N/A</v>
      </c>
      <c r="L519" s="4"/>
      <c r="P519" s="4" t="e">
        <f>VLOOKUP(H519,Stock_list!A:Y,25,FALSE)</f>
        <v>#N/A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261</v>
      </c>
      <c r="B524" s="114" t="str">
        <f>VLOOKUP(A524,'Data pick slip'!B:F,5,FALSE)</f>
        <v>KHJ-MC100-00</v>
      </c>
      <c r="C524" s="211"/>
      <c r="D524" s="212"/>
      <c r="E524" s="307"/>
      <c r="F524" s="213" t="s">
        <v>1392</v>
      </c>
      <c r="G524" s="214"/>
      <c r="H524" s="215"/>
      <c r="I524" s="217" t="s">
        <v>301</v>
      </c>
      <c r="J524" s="216" t="s">
        <v>301</v>
      </c>
      <c r="K524" s="93"/>
      <c r="L524" s="9"/>
      <c r="M524" s="217"/>
      <c r="N524" s="341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264</v>
      </c>
      <c r="B525" s="114" t="str">
        <f>VLOOKUP(A525,'Data pick slip'!B:F,5,FALSE)</f>
        <v>KHJ-MC200-00</v>
      </c>
      <c r="C525" s="211"/>
      <c r="D525" s="212"/>
      <c r="E525" s="307"/>
      <c r="F525" s="213" t="s">
        <v>1392</v>
      </c>
      <c r="G525" s="214"/>
      <c r="H525" s="215"/>
      <c r="I525" s="217" t="s">
        <v>301</v>
      </c>
      <c r="J525" s="216" t="s">
        <v>301</v>
      </c>
      <c r="K525" s="93"/>
      <c r="L525" s="9"/>
      <c r="M525" s="217"/>
      <c r="N525" s="341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265</v>
      </c>
      <c r="B526" s="114" t="str">
        <f>VLOOKUP(A526,'Data pick slip'!B:F,5,FALSE)</f>
        <v>KHJ-MC400-00</v>
      </c>
      <c r="C526" s="211"/>
      <c r="D526" s="212"/>
      <c r="E526" s="307"/>
      <c r="F526" s="213" t="s">
        <v>1392</v>
      </c>
      <c r="G526" s="214"/>
      <c r="H526" s="215"/>
      <c r="I526" s="217" t="s">
        <v>301</v>
      </c>
      <c r="J526" s="216" t="s">
        <v>301</v>
      </c>
      <c r="K526" s="93"/>
      <c r="L526" s="9"/>
      <c r="M526" s="217"/>
      <c r="N526" s="341">
        <f>30</f>
        <v>30</v>
      </c>
      <c r="P526" s="4"/>
      <c r="Q526" s="143"/>
      <c r="T526" s="144"/>
      <c r="U526" s="145"/>
    </row>
    <row r="527" spans="1:21" ht="16.5" customHeight="1">
      <c r="A527" s="210" t="s">
        <v>266</v>
      </c>
      <c r="B527" s="114" t="str">
        <f>VLOOKUP(A527,'Data pick slip'!B:F,5,FALSE)</f>
        <v>KHJ-MC500-00</v>
      </c>
      <c r="C527" s="211"/>
      <c r="D527" s="212"/>
      <c r="E527" s="307"/>
      <c r="F527" s="213" t="s">
        <v>1392</v>
      </c>
      <c r="G527" s="214"/>
      <c r="H527" s="215"/>
      <c r="I527" s="217" t="s">
        <v>301</v>
      </c>
      <c r="J527" s="216" t="s">
        <v>301</v>
      </c>
      <c r="K527" s="93"/>
      <c r="L527" s="9"/>
      <c r="M527" s="217"/>
      <c r="N527" s="341">
        <f>15</f>
        <v>15</v>
      </c>
      <c r="P527" s="4"/>
      <c r="Q527" s="143"/>
      <c r="T527" s="144"/>
      <c r="U527" s="145"/>
    </row>
    <row r="528" spans="1:21" ht="16.5" customHeight="1">
      <c r="A528" s="210" t="s">
        <v>267</v>
      </c>
      <c r="B528" s="114" t="str">
        <f>VLOOKUP(A528,'Data pick slip'!B:F,5,FALSE)</f>
        <v>KHJ-MC600-00</v>
      </c>
      <c r="C528" s="211"/>
      <c r="D528" s="212"/>
      <c r="E528" s="307"/>
      <c r="F528" s="213" t="s">
        <v>1392</v>
      </c>
      <c r="G528" s="214"/>
      <c r="H528" s="215"/>
      <c r="I528" s="217" t="s">
        <v>301</v>
      </c>
      <c r="J528" s="216" t="s">
        <v>301</v>
      </c>
      <c r="K528" s="93"/>
      <c r="L528" s="9"/>
      <c r="M528" s="217"/>
      <c r="N528" s="341">
        <f>6</f>
        <v>6</v>
      </c>
      <c r="P528" s="4"/>
      <c r="Q528" s="143"/>
      <c r="T528" s="144"/>
      <c r="U528" s="145"/>
    </row>
    <row r="529" spans="1:21" ht="16.5" customHeight="1">
      <c r="A529" s="210" t="s">
        <v>268</v>
      </c>
      <c r="B529" s="114" t="str">
        <f>VLOOKUP(A529,'Data pick slip'!B:F,5,FALSE)</f>
        <v>KHJ-MC700-00</v>
      </c>
      <c r="C529" s="211"/>
      <c r="D529" s="212"/>
      <c r="E529" s="307"/>
      <c r="F529" s="213" t="s">
        <v>1392</v>
      </c>
      <c r="G529" s="214"/>
      <c r="H529" s="215"/>
      <c r="I529" s="217" t="s">
        <v>301</v>
      </c>
      <c r="J529" s="216" t="s">
        <v>301</v>
      </c>
      <c r="K529" s="93"/>
      <c r="L529" s="9"/>
      <c r="M529" s="217"/>
      <c r="N529" s="341">
        <f>2</f>
        <v>2</v>
      </c>
      <c r="P529" s="4"/>
      <c r="Q529" s="143"/>
      <c r="T529" s="144"/>
      <c r="U529" s="145"/>
    </row>
    <row r="530" spans="1:21" ht="16.5" customHeight="1">
      <c r="A530" s="210" t="s">
        <v>269</v>
      </c>
      <c r="B530" s="114" t="str">
        <f>VLOOKUP(A530,'Data pick slip'!B:F,5,FALSE)</f>
        <v>KHJ-MC800-00</v>
      </c>
      <c r="C530" s="211"/>
      <c r="D530" s="212"/>
      <c r="E530" s="307"/>
      <c r="F530" s="213" t="s">
        <v>1392</v>
      </c>
      <c r="G530" s="214"/>
      <c r="H530" s="215"/>
      <c r="I530" s="217" t="s">
        <v>301</v>
      </c>
      <c r="J530" s="216" t="s">
        <v>301</v>
      </c>
      <c r="K530" s="93"/>
      <c r="L530" s="9"/>
      <c r="M530" s="217"/>
      <c r="N530" s="341">
        <v>0</v>
      </c>
      <c r="P530" s="4"/>
      <c r="Q530" s="143"/>
      <c r="T530" s="144"/>
      <c r="U530" s="145"/>
    </row>
    <row r="531" spans="1:21" ht="16.5" customHeight="1">
      <c r="A531" s="210" t="s">
        <v>272</v>
      </c>
      <c r="B531" s="114" t="str">
        <f>VLOOKUP(A531,'Data pick slip'!B:F,5,FALSE)</f>
        <v>KLJ-MC100-00</v>
      </c>
      <c r="C531" s="211"/>
      <c r="D531" s="212"/>
      <c r="E531" s="307"/>
      <c r="F531" s="213" t="s">
        <v>1392</v>
      </c>
      <c r="G531" s="214"/>
      <c r="H531" s="215"/>
      <c r="I531" s="217" t="s">
        <v>301</v>
      </c>
      <c r="J531" s="216" t="s">
        <v>301</v>
      </c>
      <c r="K531" s="93"/>
      <c r="L531" s="9"/>
      <c r="M531" s="217"/>
      <c r="N531" s="341">
        <v>200</v>
      </c>
      <c r="P531" s="4"/>
      <c r="Q531" s="143"/>
      <c r="T531" s="144"/>
      <c r="U531" s="145"/>
    </row>
    <row r="532" spans="1:21" ht="16.5" customHeight="1">
      <c r="A532" s="210" t="s">
        <v>273</v>
      </c>
      <c r="B532" s="114" t="str">
        <f>VLOOKUP(A532,'Data pick slip'!B:F,5,FALSE)</f>
        <v>KLJ-MC200-00</v>
      </c>
      <c r="C532" s="211"/>
      <c r="D532" s="212"/>
      <c r="E532" s="307"/>
      <c r="F532" s="213" t="s">
        <v>1392</v>
      </c>
      <c r="G532" s="214"/>
      <c r="H532" s="215"/>
      <c r="I532" s="217" t="s">
        <v>301</v>
      </c>
      <c r="J532" s="216" t="s">
        <v>301</v>
      </c>
      <c r="K532" s="93"/>
      <c r="L532" s="9"/>
      <c r="M532" s="217"/>
      <c r="N532" s="341">
        <v>30</v>
      </c>
      <c r="P532" s="4"/>
      <c r="T532" s="144"/>
      <c r="U532" s="145"/>
    </row>
    <row r="533" spans="1:21" ht="16.5" customHeight="1">
      <c r="A533" s="210" t="s">
        <v>274</v>
      </c>
      <c r="B533" s="114" t="str">
        <f>VLOOKUP(A533,'Data pick slip'!B:F,5,FALSE)</f>
        <v>KLJ-MC400-00</v>
      </c>
      <c r="C533" s="211"/>
      <c r="D533" s="212"/>
      <c r="E533" s="307"/>
      <c r="F533" s="213" t="s">
        <v>1392</v>
      </c>
      <c r="G533" s="214"/>
      <c r="H533" s="215"/>
      <c r="I533" s="217" t="s">
        <v>301</v>
      </c>
      <c r="J533" s="216" t="s">
        <v>301</v>
      </c>
      <c r="K533" s="93"/>
      <c r="L533" s="9"/>
      <c r="M533" s="217"/>
      <c r="N533" s="341">
        <v>10</v>
      </c>
      <c r="P533" s="4"/>
      <c r="Q533" s="143"/>
      <c r="T533" s="144"/>
      <c r="U533" s="145"/>
    </row>
    <row r="534" spans="1:21" ht="16.5" customHeight="1">
      <c r="A534" s="210" t="s">
        <v>275</v>
      </c>
      <c r="B534" s="114" t="str">
        <f>VLOOKUP(A534,'Data pick slip'!B:F,5,FALSE)</f>
        <v>KLJ-MC500-00</v>
      </c>
      <c r="C534" s="211"/>
      <c r="D534" s="212"/>
      <c r="E534" s="307"/>
      <c r="F534" s="213" t="s">
        <v>1392</v>
      </c>
      <c r="G534" s="214"/>
      <c r="H534" s="215"/>
      <c r="I534" s="217" t="s">
        <v>301</v>
      </c>
      <c r="J534" s="216" t="s">
        <v>301</v>
      </c>
      <c r="K534" s="93"/>
      <c r="L534" s="9"/>
      <c r="M534" s="217"/>
      <c r="N534" s="341">
        <v>5</v>
      </c>
      <c r="P534" s="4"/>
      <c r="Q534" s="143"/>
      <c r="T534" s="144"/>
      <c r="U534" s="145"/>
    </row>
    <row r="535" spans="1:21" ht="16.5" customHeight="1">
      <c r="A535" s="210" t="s">
        <v>276</v>
      </c>
      <c r="B535" s="114" t="str">
        <f>VLOOKUP(A535,'Data pick slip'!B:F,5,FALSE)</f>
        <v>KLJ-MC600-00</v>
      </c>
      <c r="C535" s="211"/>
      <c r="D535" s="212"/>
      <c r="E535" s="307"/>
      <c r="F535" s="213" t="s">
        <v>1392</v>
      </c>
      <c r="G535" s="214"/>
      <c r="H535" s="215"/>
      <c r="I535" s="217" t="s">
        <v>301</v>
      </c>
      <c r="J535" s="216" t="s">
        <v>301</v>
      </c>
      <c r="K535" s="93"/>
      <c r="L535" s="9"/>
      <c r="M535" s="217"/>
      <c r="N535" s="341">
        <v>0</v>
      </c>
      <c r="P535" s="4"/>
      <c r="Q535" s="143"/>
      <c r="T535" s="144"/>
      <c r="U535" s="145"/>
    </row>
    <row r="536" spans="1:21" ht="16.5" customHeight="1">
      <c r="A536" s="210" t="s">
        <v>277</v>
      </c>
      <c r="B536" s="114" t="str">
        <f>VLOOKUP(A536,'Data pick slip'!B:F,5,FALSE)</f>
        <v>KLJ-MC700-00</v>
      </c>
      <c r="C536" s="211"/>
      <c r="D536" s="212"/>
      <c r="E536" s="307"/>
      <c r="F536" s="213" t="s">
        <v>1392</v>
      </c>
      <c r="G536" s="214"/>
      <c r="H536" s="215"/>
      <c r="I536" s="217" t="s">
        <v>301</v>
      </c>
      <c r="J536" s="216" t="s">
        <v>301</v>
      </c>
      <c r="K536" s="93"/>
      <c r="L536" s="9"/>
      <c r="M536" s="217"/>
      <c r="N536" s="341">
        <v>0</v>
      </c>
      <c r="P536" s="4"/>
      <c r="Q536" s="143"/>
      <c r="T536" s="144"/>
      <c r="U536" s="145"/>
    </row>
    <row r="537" spans="1:21" ht="16.5" customHeight="1">
      <c r="A537" s="210" t="s">
        <v>278</v>
      </c>
      <c r="B537" s="114" t="str">
        <f>VLOOKUP(A537,'Data pick slip'!B:F,5,FALSE)</f>
        <v>KLJ-MC800-00</v>
      </c>
      <c r="C537" s="211"/>
      <c r="D537" s="212"/>
      <c r="E537" s="307"/>
      <c r="F537" s="213" t="s">
        <v>1392</v>
      </c>
      <c r="G537" s="214"/>
      <c r="H537" s="215"/>
      <c r="I537" s="217" t="s">
        <v>301</v>
      </c>
      <c r="J537" s="216" t="s">
        <v>301</v>
      </c>
      <c r="K537" s="93"/>
      <c r="L537" s="9"/>
      <c r="M537" s="217"/>
      <c r="N537" s="341">
        <v>0</v>
      </c>
      <c r="P537" s="4"/>
      <c r="Q537" s="143"/>
      <c r="T537" s="144"/>
      <c r="U537" s="145"/>
    </row>
    <row r="538" spans="1:21" ht="16.5" customHeight="1">
      <c r="A538" s="218" t="s">
        <v>261</v>
      </c>
      <c r="B538" s="114" t="str">
        <f>VLOOKUP(A538,'Data pick slip'!B:F,5,FALSE)</f>
        <v>KHJ-MC100-00</v>
      </c>
      <c r="C538" s="219"/>
      <c r="D538" s="220"/>
      <c r="E538" s="255"/>
      <c r="F538" s="213" t="s">
        <v>1392</v>
      </c>
      <c r="G538" s="222"/>
      <c r="H538" s="223"/>
      <c r="I538" s="225" t="s">
        <v>303</v>
      </c>
      <c r="J538" s="224" t="s">
        <v>303</v>
      </c>
      <c r="K538" s="94"/>
      <c r="L538" s="10"/>
      <c r="M538" s="225"/>
      <c r="N538" s="342">
        <f>300</f>
        <v>300</v>
      </c>
      <c r="P538" s="4"/>
      <c r="Q538" s="143"/>
      <c r="T538" s="144"/>
      <c r="U538" s="145"/>
    </row>
    <row r="539" spans="1:21" ht="16.5" customHeight="1">
      <c r="A539" s="218" t="s">
        <v>264</v>
      </c>
      <c r="B539" s="114" t="str">
        <f>VLOOKUP(A539,'Data pick slip'!B:F,5,FALSE)</f>
        <v>KHJ-MC200-00</v>
      </c>
      <c r="C539" s="219"/>
      <c r="D539" s="220"/>
      <c r="E539" s="255"/>
      <c r="F539" s="213" t="s">
        <v>1392</v>
      </c>
      <c r="G539" s="222"/>
      <c r="H539" s="223"/>
      <c r="I539" s="225" t="s">
        <v>303</v>
      </c>
      <c r="J539" s="224" t="s">
        <v>303</v>
      </c>
      <c r="K539" s="94"/>
      <c r="L539" s="10"/>
      <c r="M539" s="225"/>
      <c r="N539" s="342">
        <f>150</f>
        <v>150</v>
      </c>
      <c r="P539" s="4"/>
      <c r="Q539" s="143"/>
      <c r="T539" s="144"/>
      <c r="U539" s="145"/>
    </row>
    <row r="540" spans="1:21" ht="16.5" customHeight="1">
      <c r="A540" s="218" t="s">
        <v>265</v>
      </c>
      <c r="B540" s="114" t="str">
        <f>VLOOKUP(A540,'Data pick slip'!B:F,5,FALSE)</f>
        <v>KHJ-MC400-00</v>
      </c>
      <c r="C540" s="219"/>
      <c r="D540" s="220"/>
      <c r="E540" s="255"/>
      <c r="F540" s="213" t="s">
        <v>1392</v>
      </c>
      <c r="G540" s="222"/>
      <c r="H540" s="223"/>
      <c r="I540" s="225" t="s">
        <v>303</v>
      </c>
      <c r="J540" s="224" t="s">
        <v>303</v>
      </c>
      <c r="K540" s="94"/>
      <c r="L540" s="10"/>
      <c r="M540" s="225"/>
      <c r="N540" s="342">
        <f>25</f>
        <v>25</v>
      </c>
      <c r="P540" s="4"/>
      <c r="Q540" s="143"/>
      <c r="T540" s="144"/>
      <c r="U540" s="145"/>
    </row>
    <row r="541" spans="1:21" ht="16.5" customHeight="1">
      <c r="A541" s="218" t="s">
        <v>266</v>
      </c>
      <c r="B541" s="114" t="str">
        <f>VLOOKUP(A541,'Data pick slip'!B:F,5,FALSE)</f>
        <v>KHJ-MC500-00</v>
      </c>
      <c r="C541" s="219"/>
      <c r="D541" s="220"/>
      <c r="E541" s="255"/>
      <c r="F541" s="213" t="s">
        <v>1392</v>
      </c>
      <c r="G541" s="222"/>
      <c r="H541" s="223"/>
      <c r="I541" s="225" t="s">
        <v>303</v>
      </c>
      <c r="J541" s="224" t="s">
        <v>303</v>
      </c>
      <c r="K541" s="94"/>
      <c r="L541" s="10"/>
      <c r="M541" s="225"/>
      <c r="N541" s="342">
        <f>15</f>
        <v>15</v>
      </c>
      <c r="P541" s="4"/>
      <c r="Q541" s="143"/>
      <c r="T541" s="144"/>
      <c r="U541" s="145"/>
    </row>
    <row r="542" spans="1:21" ht="16.5" customHeight="1">
      <c r="A542" s="218" t="s">
        <v>267</v>
      </c>
      <c r="B542" s="114" t="str">
        <f>VLOOKUP(A542,'Data pick slip'!B:F,5,FALSE)</f>
        <v>KHJ-MC600-00</v>
      </c>
      <c r="C542" s="219"/>
      <c r="D542" s="220"/>
      <c r="E542" s="255"/>
      <c r="F542" s="213" t="s">
        <v>1392</v>
      </c>
      <c r="G542" s="222"/>
      <c r="H542" s="223"/>
      <c r="I542" s="225" t="s">
        <v>303</v>
      </c>
      <c r="J542" s="224" t="s">
        <v>303</v>
      </c>
      <c r="K542" s="94"/>
      <c r="L542" s="10"/>
      <c r="M542" s="225"/>
      <c r="N542" s="342">
        <f>12</f>
        <v>12</v>
      </c>
      <c r="P542" s="4"/>
      <c r="Q542" s="143"/>
      <c r="T542" s="144"/>
      <c r="U542" s="145"/>
    </row>
    <row r="543" spans="1:21" ht="16.5" customHeight="1">
      <c r="A543" s="218" t="s">
        <v>268</v>
      </c>
      <c r="B543" s="114" t="str">
        <f>VLOOKUP(A543,'Data pick slip'!B:F,5,FALSE)</f>
        <v>KHJ-MC700-00</v>
      </c>
      <c r="C543" s="219"/>
      <c r="D543" s="220"/>
      <c r="E543" s="255"/>
      <c r="F543" s="213" t="s">
        <v>1392</v>
      </c>
      <c r="G543" s="222"/>
      <c r="H543" s="223"/>
      <c r="I543" s="225" t="s">
        <v>303</v>
      </c>
      <c r="J543" s="224" t="s">
        <v>303</v>
      </c>
      <c r="K543" s="94"/>
      <c r="L543" s="10"/>
      <c r="M543" s="225"/>
      <c r="N543" s="342">
        <v>1</v>
      </c>
      <c r="P543" s="4"/>
      <c r="Q543" s="143"/>
      <c r="T543" s="144"/>
      <c r="U543" s="145"/>
    </row>
    <row r="544" spans="1:21" ht="16.5" customHeight="1">
      <c r="A544" s="218" t="s">
        <v>269</v>
      </c>
      <c r="B544" s="114" t="str">
        <f>VLOOKUP(A544,'Data pick slip'!B:F,5,FALSE)</f>
        <v>KHJ-MC800-00</v>
      </c>
      <c r="C544" s="219"/>
      <c r="D544" s="220"/>
      <c r="E544" s="255"/>
      <c r="F544" s="213" t="s">
        <v>1392</v>
      </c>
      <c r="G544" s="222"/>
      <c r="H544" s="223"/>
      <c r="I544" s="225" t="s">
        <v>303</v>
      </c>
      <c r="J544" s="224" t="s">
        <v>303</v>
      </c>
      <c r="K544" s="94"/>
      <c r="L544" s="10"/>
      <c r="M544" s="225"/>
      <c r="N544" s="342">
        <v>0</v>
      </c>
      <c r="P544" s="4"/>
      <c r="Q544" s="143"/>
      <c r="T544" s="144"/>
      <c r="U544" s="145"/>
    </row>
    <row r="545" spans="1:21" ht="16.5" customHeight="1">
      <c r="A545" s="218" t="s">
        <v>272</v>
      </c>
      <c r="B545" s="114" t="str">
        <f>VLOOKUP(A545,'Data pick slip'!B:F,5,FALSE)</f>
        <v>KLJ-MC100-00</v>
      </c>
      <c r="C545" s="219"/>
      <c r="D545" s="220"/>
      <c r="E545" s="255"/>
      <c r="F545" s="213" t="s">
        <v>1392</v>
      </c>
      <c r="G545" s="222"/>
      <c r="H545" s="223"/>
      <c r="I545" s="225" t="s">
        <v>303</v>
      </c>
      <c r="J545" s="224" t="s">
        <v>303</v>
      </c>
      <c r="K545" s="94"/>
      <c r="L545" s="10"/>
      <c r="M545" s="225"/>
      <c r="N545" s="342">
        <v>100</v>
      </c>
      <c r="P545" s="4"/>
      <c r="Q545" s="143"/>
      <c r="T545" s="144"/>
      <c r="U545" s="145"/>
    </row>
    <row r="546" spans="1:21" ht="16.5" customHeight="1">
      <c r="A546" s="218" t="s">
        <v>273</v>
      </c>
      <c r="B546" s="114" t="str">
        <f>VLOOKUP(A546,'Data pick slip'!B:F,5,FALSE)</f>
        <v>KLJ-MC200-00</v>
      </c>
      <c r="C546" s="219"/>
      <c r="D546" s="220"/>
      <c r="E546" s="255"/>
      <c r="F546" s="213" t="s">
        <v>1392</v>
      </c>
      <c r="G546" s="222"/>
      <c r="H546" s="223"/>
      <c r="I546" s="225" t="s">
        <v>303</v>
      </c>
      <c r="J546" s="224" t="s">
        <v>303</v>
      </c>
      <c r="K546" s="94"/>
      <c r="L546" s="10"/>
      <c r="M546" s="225"/>
      <c r="N546" s="342">
        <v>10</v>
      </c>
      <c r="P546" s="4"/>
      <c r="T546" s="144"/>
      <c r="U546" s="145"/>
    </row>
    <row r="547" spans="1:21" ht="16.5" customHeight="1">
      <c r="A547" s="218" t="s">
        <v>274</v>
      </c>
      <c r="B547" s="114" t="str">
        <f>VLOOKUP(A547,'Data pick slip'!B:F,5,FALSE)</f>
        <v>KLJ-MC400-00</v>
      </c>
      <c r="C547" s="219"/>
      <c r="D547" s="220"/>
      <c r="E547" s="255"/>
      <c r="F547" s="213" t="s">
        <v>1392</v>
      </c>
      <c r="G547" s="222"/>
      <c r="H547" s="223"/>
      <c r="I547" s="225" t="s">
        <v>303</v>
      </c>
      <c r="J547" s="224" t="s">
        <v>303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275</v>
      </c>
      <c r="B548" s="114" t="str">
        <f>VLOOKUP(A548,'Data pick slip'!B:F,5,FALSE)</f>
        <v>KLJ-MC500-00</v>
      </c>
      <c r="C548" s="219"/>
      <c r="D548" s="220"/>
      <c r="E548" s="255"/>
      <c r="F548" s="213" t="s">
        <v>1392</v>
      </c>
      <c r="G548" s="222"/>
      <c r="H548" s="223"/>
      <c r="I548" s="225" t="s">
        <v>303</v>
      </c>
      <c r="J548" s="224" t="s">
        <v>303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276</v>
      </c>
      <c r="B549" s="114" t="str">
        <f>VLOOKUP(A549,'Data pick slip'!B:F,5,FALSE)</f>
        <v>KLJ-MC600-00</v>
      </c>
      <c r="C549" s="219"/>
      <c r="D549" s="220"/>
      <c r="E549" s="255"/>
      <c r="F549" s="213" t="s">
        <v>1392</v>
      </c>
      <c r="G549" s="222"/>
      <c r="H549" s="223"/>
      <c r="I549" s="225" t="s">
        <v>303</v>
      </c>
      <c r="J549" s="224" t="s">
        <v>303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277</v>
      </c>
      <c r="B550" s="114" t="str">
        <f>VLOOKUP(A550,'Data pick slip'!B:F,5,FALSE)</f>
        <v>KLJ-MC700-00</v>
      </c>
      <c r="C550" s="219"/>
      <c r="D550" s="220"/>
      <c r="E550" s="255"/>
      <c r="F550" s="213" t="s">
        <v>1392</v>
      </c>
      <c r="G550" s="222"/>
      <c r="H550" s="223"/>
      <c r="I550" s="225" t="s">
        <v>303</v>
      </c>
      <c r="J550" s="224" t="s">
        <v>303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278</v>
      </c>
      <c r="B551" s="114" t="str">
        <f>VLOOKUP(A551,'Data pick slip'!B:F,5,FALSE)</f>
        <v>KLJ-MC800-00</v>
      </c>
      <c r="C551" s="219"/>
      <c r="D551" s="220"/>
      <c r="E551" s="255"/>
      <c r="F551" s="213" t="s">
        <v>1392</v>
      </c>
      <c r="G551" s="222"/>
      <c r="H551" s="223"/>
      <c r="I551" s="225" t="s">
        <v>303</v>
      </c>
      <c r="J551" s="224" t="s">
        <v>303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4"/>
      <c r="U552" s="145"/>
    </row>
    <row r="553" spans="1:21" ht="16.5" customHeight="1">
      <c r="A553" s="210" t="s">
        <v>261</v>
      </c>
      <c r="B553" s="114" t="str">
        <f>VLOOKUP(A553,'Data pick slip'!B:F,5,FALSE)</f>
        <v>KHJ-MC100-00</v>
      </c>
      <c r="C553" s="219"/>
      <c r="D553" s="212">
        <v>2</v>
      </c>
      <c r="E553" s="307" t="e">
        <f>VLOOKUP(C553,Stock_list!D:L,9,FALSE)</f>
        <v>#N/A</v>
      </c>
      <c r="F553" s="213" t="s">
        <v>21</v>
      </c>
      <c r="G553" s="214"/>
      <c r="H553" s="215"/>
      <c r="I553" s="391" t="s">
        <v>1386</v>
      </c>
      <c r="J553" s="425" t="s">
        <v>1602</v>
      </c>
      <c r="K553" s="93">
        <f>SUMIFS(Stock_list!$J$1:$J$80,Stock_list!$F$1:$F$80,"S20",Stock_list!$B$1:$B$80,"TBA.",Stock_list!$P$1:$P$80,"#N/A")</f>
        <v>0</v>
      </c>
      <c r="L553" s="10"/>
      <c r="M553" s="225"/>
      <c r="N553" s="214">
        <f>D553*K553</f>
        <v>0</v>
      </c>
      <c r="P553" s="4"/>
      <c r="Q553" s="143"/>
      <c r="T553" s="424"/>
      <c r="U553" s="145"/>
    </row>
    <row r="554" spans="1:21" ht="16.5" customHeight="1">
      <c r="A554" s="210" t="s">
        <v>261</v>
      </c>
      <c r="B554" s="114" t="str">
        <f>VLOOKUP(A554,'Data pick slip'!B:F,5,FALSE)</f>
        <v>KHJ-MC100-00</v>
      </c>
      <c r="C554" s="219"/>
      <c r="D554" s="212">
        <v>2</v>
      </c>
      <c r="E554" s="307" t="e">
        <f>VLOOKUP(C554,Stock_list!D:L,9,FALSE)</f>
        <v>#N/A</v>
      </c>
      <c r="F554" s="213" t="s">
        <v>72</v>
      </c>
      <c r="G554" s="214"/>
      <c r="H554" s="215"/>
      <c r="I554" s="391" t="s">
        <v>1386</v>
      </c>
      <c r="J554" s="425" t="s">
        <v>1602</v>
      </c>
      <c r="K554" s="93">
        <f>SUMIFS(Stock_list!$J$1:$J$80,Stock_list!$F$1:$F$80,"S20",Stock_list!$B$1:$B$80,"已经到货",Stock_list!$P$1:$P$80,"#N/A")</f>
        <v>0</v>
      </c>
      <c r="L554" s="10"/>
      <c r="M554" s="225"/>
      <c r="N554" s="214">
        <f>D554*K554</f>
        <v>0</v>
      </c>
      <c r="P554" s="4"/>
      <c r="Q554" s="143"/>
      <c r="T554" s="424"/>
      <c r="U554" s="145"/>
    </row>
    <row r="555" spans="1:21">
      <c r="A555" s="210" t="s">
        <v>261</v>
      </c>
      <c r="B555" s="114" t="str">
        <f>VLOOKUP(A555,'Data pick slip'!B:F,5,FALSE)</f>
        <v>KHJ-MC100-00</v>
      </c>
      <c r="C555" s="211"/>
      <c r="D555" s="212">
        <v>2</v>
      </c>
      <c r="E555" s="307" t="e">
        <f>VLOOKUP(C555,Stock_list!D:L,9,FALSE)</f>
        <v>#N/A</v>
      </c>
      <c r="F555" s="213" t="s">
        <v>497</v>
      </c>
      <c r="G555" s="214"/>
      <c r="H555" s="215"/>
      <c r="I555" s="391" t="s">
        <v>1386</v>
      </c>
      <c r="J555" s="425" t="s">
        <v>1602</v>
      </c>
      <c r="K555" s="93">
        <f>SUMIFS(Stock_list!$J$1:$J$80,Stock_list!$F$1:$F$80,"S20",Stock_list!$B$1:$B$80,"有交期",Stock_list!$P$1:$P$80,"#N/A")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18</v>
      </c>
      <c r="T555" s="330">
        <v>35</v>
      </c>
      <c r="U555" s="145"/>
    </row>
    <row r="556" spans="1:21" ht="16.5" customHeight="1">
      <c r="A556" s="210" t="s">
        <v>261</v>
      </c>
      <c r="B556" s="114" t="str">
        <f>VLOOKUP(A556,'Data pick slip'!B:F,5,FALSE)</f>
        <v>KHJ-MC100-00</v>
      </c>
      <c r="C556" s="211"/>
      <c r="D556" s="212">
        <v>25</v>
      </c>
      <c r="E556" s="307" t="e">
        <f>VLOOKUP(C556,Stock_list!D:L,9,FALSE)</f>
        <v>#N/A</v>
      </c>
      <c r="F556" s="213" t="s">
        <v>21</v>
      </c>
      <c r="G556" s="214"/>
      <c r="H556" s="215"/>
      <c r="I556" s="217" t="s">
        <v>304</v>
      </c>
      <c r="J556" s="426" t="s">
        <v>305</v>
      </c>
      <c r="K556" s="93">
        <f>SUMIFS(Stock_list!$J$1:$J$80,Stock_list!$F$1:$F$80,"YSM10",Stock_list!$B$1:$B$80,"TBA.",Stock_list!$P$1:$P$80,"#N/A")</f>
        <v>11</v>
      </c>
      <c r="L556" s="9"/>
      <c r="M556" s="217"/>
      <c r="N556" s="214">
        <f>D556*K556</f>
        <v>275</v>
      </c>
      <c r="O556" s="122"/>
      <c r="P556" s="4"/>
      <c r="Q556" s="345"/>
      <c r="R556" s="345"/>
      <c r="S556" s="345"/>
      <c r="U556" s="145"/>
    </row>
    <row r="557" spans="1:21" ht="16.5" customHeight="1">
      <c r="A557" s="210" t="s">
        <v>264</v>
      </c>
      <c r="B557" s="114" t="str">
        <f>VLOOKUP(A557,'Data pick slip'!B:F,5,FALSE)</f>
        <v>KHJ-MC200-00</v>
      </c>
      <c r="C557" s="211"/>
      <c r="D557" s="212">
        <v>10</v>
      </c>
      <c r="E557" s="307" t="e">
        <f>VLOOKUP(C557,Stock_list!D:L,9,FALSE)</f>
        <v>#N/A</v>
      </c>
      <c r="F557" s="213" t="s">
        <v>21</v>
      </c>
      <c r="G557" s="214"/>
      <c r="H557" s="215"/>
      <c r="I557" s="217" t="s">
        <v>304</v>
      </c>
      <c r="J557" s="426" t="s">
        <v>305</v>
      </c>
      <c r="K557" s="93">
        <f>SUMIFS(Stock_list!$J$1:$J$80,Stock_list!$F$1:$F$80,"YSM10",Stock_list!$B$1:$B$80,"TBA.",Stock_list!$P$1:$P$80,"#N/A")</f>
        <v>11</v>
      </c>
      <c r="L557" s="9"/>
      <c r="M557" s="217"/>
      <c r="N557" s="214">
        <f>D557*K557</f>
        <v>110</v>
      </c>
      <c r="O557" s="122"/>
      <c r="P557" s="4"/>
      <c r="Q557" s="345"/>
      <c r="R557" s="345"/>
      <c r="S557" s="345"/>
      <c r="U557" s="145"/>
    </row>
    <row r="558" spans="1:21" ht="16.5" customHeight="1">
      <c r="A558" s="210" t="s">
        <v>265</v>
      </c>
      <c r="B558" s="114" t="str">
        <f>VLOOKUP(A558,'Data pick slip'!B:F,5,FALSE)</f>
        <v>KHJ-MC400-00</v>
      </c>
      <c r="C558" s="211"/>
      <c r="D558" s="212">
        <v>2</v>
      </c>
      <c r="E558" s="307" t="e">
        <f>VLOOKUP(C558,Stock_list!D:L,9,FALSE)</f>
        <v>#N/A</v>
      </c>
      <c r="F558" s="213" t="s">
        <v>21</v>
      </c>
      <c r="G558" s="214"/>
      <c r="H558" s="215"/>
      <c r="I558" s="217" t="s">
        <v>304</v>
      </c>
      <c r="J558" s="426" t="s">
        <v>305</v>
      </c>
      <c r="K558" s="93">
        <f>SUMIFS(Stock_list!$J$1:$J$80,Stock_list!$F$1:$F$80,"YSM10",Stock_list!$B$1:$B$80,"TBA.",Stock_list!$P$1:$P$80,"#N/A")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5"/>
      <c r="R558" s="345"/>
      <c r="S558" s="345"/>
      <c r="U558" s="145"/>
    </row>
    <row r="559" spans="1:21" ht="14.4">
      <c r="A559" s="210" t="s">
        <v>261</v>
      </c>
      <c r="B559" s="114" t="str">
        <f>VLOOKUP(A559,'Data pick slip'!B:F,5,FALSE)</f>
        <v>KHJ-MC100-00</v>
      </c>
      <c r="C559" s="211"/>
      <c r="D559" s="212">
        <v>25</v>
      </c>
      <c r="E559" s="307" t="e">
        <f>VLOOKUP(C559,Stock_list!D:L,9,FALSE)</f>
        <v>#N/A</v>
      </c>
      <c r="F559" s="213" t="s">
        <v>72</v>
      </c>
      <c r="G559" s="214"/>
      <c r="H559" s="215"/>
      <c r="I559" s="217" t="s">
        <v>304</v>
      </c>
      <c r="J559" s="426" t="s">
        <v>305</v>
      </c>
      <c r="K559" s="93">
        <f>SUMIFS(Stock_list!$J$1:$J$80,Stock_list!$F$1:$F$80,"YSM10",Stock_list!$B$1:$B$80,"已经到货",Stock_list!$P$1:$P$80,"#N/A")</f>
        <v>0</v>
      </c>
      <c r="L559" s="9"/>
      <c r="M559" s="217"/>
      <c r="N559" s="214">
        <f t="shared" si="1"/>
        <v>0</v>
      </c>
      <c r="O559" s="122"/>
      <c r="P559" s="4"/>
      <c r="Q559" s="345"/>
      <c r="R559" s="345"/>
      <c r="S559" s="329" t="s">
        <v>10</v>
      </c>
      <c r="T559" s="48" t="s">
        <v>162</v>
      </c>
      <c r="U559" s="145"/>
    </row>
    <row r="560" spans="1:21" ht="16.5" customHeight="1">
      <c r="A560" s="210" t="s">
        <v>264</v>
      </c>
      <c r="B560" s="114" t="str">
        <f>VLOOKUP(A560,'Data pick slip'!B:F,5,FALSE)</f>
        <v>KHJ-MC200-00</v>
      </c>
      <c r="C560" s="211"/>
      <c r="D560" s="212">
        <v>10</v>
      </c>
      <c r="E560" s="307" t="e">
        <f>VLOOKUP(C560,Stock_list!D:L,9,FALSE)</f>
        <v>#N/A</v>
      </c>
      <c r="F560" s="213" t="s">
        <v>72</v>
      </c>
      <c r="G560" s="214"/>
      <c r="H560" s="215"/>
      <c r="I560" s="217" t="s">
        <v>304</v>
      </c>
      <c r="J560" s="426" t="s">
        <v>305</v>
      </c>
      <c r="K560" s="93">
        <f>SUMIFS(Stock_list!$J$1:$J$80,Stock_list!$F$1:$F$80,"YSM10",Stock_list!$B$1:$B$80,"已经到货",Stock_list!$P$1:$P$80,"#N/A")</f>
        <v>0</v>
      </c>
      <c r="L560" s="9"/>
      <c r="M560" s="217"/>
      <c r="N560" s="214">
        <f t="shared" si="1"/>
        <v>0</v>
      </c>
      <c r="O560" s="122"/>
      <c r="P560" s="4"/>
      <c r="Q560" s="345"/>
      <c r="R560" s="345"/>
      <c r="S560" s="1"/>
      <c r="T560" s="48"/>
      <c r="U560" s="145"/>
    </row>
    <row r="561" spans="1:21" ht="14.4">
      <c r="A561" s="210" t="s">
        <v>265</v>
      </c>
      <c r="B561" s="114" t="str">
        <f>VLOOKUP(A561,'Data pick slip'!B:F,5,FALSE)</f>
        <v>KHJ-MC400-00</v>
      </c>
      <c r="C561" s="211"/>
      <c r="D561" s="212">
        <v>2</v>
      </c>
      <c r="E561" s="307" t="e">
        <f>VLOOKUP(C561,Stock_list!D:L,9,FALSE)</f>
        <v>#N/A</v>
      </c>
      <c r="F561" s="213" t="s">
        <v>72</v>
      </c>
      <c r="G561" s="214"/>
      <c r="H561" s="215"/>
      <c r="I561" s="217" t="s">
        <v>304</v>
      </c>
      <c r="J561" s="426" t="s">
        <v>305</v>
      </c>
      <c r="K561" s="427">
        <f>SUMIFS(Stock_list!$J$1:$J$80,Stock_list!$F$1:$F$80,"YSM10",Stock_list!$B$1:$B$80,"已经到货",Stock_list!$P$1:$P$80,"#N/A")</f>
        <v>0</v>
      </c>
      <c r="L561" s="9"/>
      <c r="M561" s="217"/>
      <c r="N561" s="214">
        <f t="shared" si="1"/>
        <v>0</v>
      </c>
      <c r="O561" s="122"/>
      <c r="P561" s="4"/>
      <c r="Q561" s="345"/>
      <c r="R561" s="345"/>
      <c r="S561" s="329" t="s">
        <v>165</v>
      </c>
      <c r="T561" s="48" t="s">
        <v>163</v>
      </c>
      <c r="U561" s="145"/>
    </row>
    <row r="562" spans="1:21">
      <c r="A562" s="210" t="s">
        <v>261</v>
      </c>
      <c r="B562" s="114" t="str">
        <f>VLOOKUP(A562,'Data pick slip'!B:F,5,FALSE)</f>
        <v>KHJ-MC100-00</v>
      </c>
      <c r="C562" s="211"/>
      <c r="D562" s="212">
        <v>25</v>
      </c>
      <c r="E562" s="307" t="e">
        <f>VLOOKUP(C562,Stock_list!D:L,9,FALSE)</f>
        <v>#N/A</v>
      </c>
      <c r="F562" s="213" t="s">
        <v>497</v>
      </c>
      <c r="G562" s="214"/>
      <c r="H562" s="215"/>
      <c r="I562" s="391" t="s">
        <v>1386</v>
      </c>
      <c r="J562" s="426" t="s">
        <v>305</v>
      </c>
      <c r="K562" s="93">
        <f>SUMIFS(Stock_list!$J$1:$J$80,Stock_list!$F$1:$F$80,"YSM10",Stock_list!$B$1:$B$80,"有交期",Stock_list!$P$1:$P$80,"#N/A")</f>
        <v>3</v>
      </c>
      <c r="L562" s="9"/>
      <c r="M562" s="217"/>
      <c r="N562" s="214">
        <f t="shared" ref="N562:N563" si="2">D562*K562</f>
        <v>75</v>
      </c>
      <c r="O562" s="122"/>
      <c r="P562" s="4"/>
      <c r="Q562" s="143"/>
      <c r="S562" s="278" t="s">
        <v>18</v>
      </c>
      <c r="T562" s="330">
        <v>35</v>
      </c>
      <c r="U562" s="145"/>
    </row>
    <row r="563" spans="1:21">
      <c r="A563" s="210" t="s">
        <v>264</v>
      </c>
      <c r="B563" s="114" t="str">
        <f>VLOOKUP(A563,'Data pick slip'!B:F,5,FALSE)</f>
        <v>KHJ-MC200-00</v>
      </c>
      <c r="C563" s="211"/>
      <c r="D563" s="212">
        <v>10</v>
      </c>
      <c r="E563" s="307" t="e">
        <f>VLOOKUP(C563,Stock_list!D:L,9,FALSE)</f>
        <v>#N/A</v>
      </c>
      <c r="F563" s="213" t="s">
        <v>497</v>
      </c>
      <c r="G563" s="214"/>
      <c r="H563" s="215"/>
      <c r="I563" s="217" t="s">
        <v>304</v>
      </c>
      <c r="J563" s="426" t="s">
        <v>305</v>
      </c>
      <c r="K563" s="93">
        <f>SUMIFS(Stock_list!$J$1:$J$80,Stock_list!$F$1:$F$80,"YSM10",Stock_list!$B$1:$B$80,"有交期",Stock_list!$P$1:$P$80,"#N/A")</f>
        <v>3</v>
      </c>
      <c r="L563" s="9"/>
      <c r="M563" s="217"/>
      <c r="N563" s="214">
        <f t="shared" si="2"/>
        <v>30</v>
      </c>
      <c r="O563" s="122"/>
      <c r="P563" s="4"/>
      <c r="Q563" s="143"/>
      <c r="S563" s="279" t="s">
        <v>141</v>
      </c>
      <c r="T563" s="48">
        <v>35</v>
      </c>
      <c r="U563" s="145"/>
    </row>
    <row r="564" spans="1:21">
      <c r="A564" s="210" t="s">
        <v>265</v>
      </c>
      <c r="B564" s="114" t="str">
        <f>VLOOKUP(A564,'Data pick slip'!B:F,5,FALSE)</f>
        <v>KHJ-MC400-00</v>
      </c>
      <c r="C564" s="211"/>
      <c r="D564" s="212">
        <v>2</v>
      </c>
      <c r="E564" s="307" t="e">
        <f>VLOOKUP(C564,Stock_list!D:L,9,FALSE)</f>
        <v>#N/A</v>
      </c>
      <c r="F564" s="213" t="s">
        <v>497</v>
      </c>
      <c r="G564" s="214"/>
      <c r="H564" s="215"/>
      <c r="I564" s="217" t="s">
        <v>304</v>
      </c>
      <c r="J564" s="426" t="s">
        <v>305</v>
      </c>
      <c r="K564" s="93">
        <f>SUMIFS(Stock_list!$J$1:$J$80,Stock_list!$F$1:$F$80,"YSM10",Stock_list!$B$1:$B$80,"有交期",Stock_list!$P$1:$P$80,"#N/A")</f>
        <v>3</v>
      </c>
      <c r="L564" s="9"/>
      <c r="M564" s="217"/>
      <c r="N564" s="214">
        <f>D564*K564</f>
        <v>6</v>
      </c>
      <c r="O564" s="122"/>
      <c r="P564" s="4"/>
      <c r="Q564" s="47"/>
      <c r="R564" s="344"/>
      <c r="S564" s="337" t="s">
        <v>21</v>
      </c>
      <c r="T564" s="48">
        <v>10</v>
      </c>
      <c r="U564" s="145"/>
    </row>
    <row r="565" spans="1:21">
      <c r="A565" s="210" t="s">
        <v>261</v>
      </c>
      <c r="B565" s="114" t="str">
        <f>VLOOKUP(A565,'Data pick slip'!B:F,5,FALSE)</f>
        <v>KHJ-MC100-00</v>
      </c>
      <c r="C565" s="211"/>
      <c r="D565" s="212">
        <v>50</v>
      </c>
      <c r="E565" s="307" t="e">
        <f>VLOOKUP(C565,Stock_list!D:L,9,FALSE)</f>
        <v>#N/A</v>
      </c>
      <c r="F565" s="213" t="s">
        <v>21</v>
      </c>
      <c r="G565" s="214"/>
      <c r="H565" s="215"/>
      <c r="I565" s="217" t="s">
        <v>304</v>
      </c>
      <c r="J565" s="216" t="s">
        <v>307</v>
      </c>
      <c r="K565" s="93">
        <f>SUMIFS(Stock_list!$J$1:$J$80,Stock_list!$F$1:$F$80,"YSM20R-2",Stock_list!$B$1:$B$80,"TBA.",Stock_list!$P$1:$P$80,"#N/A")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7" t="s">
        <v>72</v>
      </c>
      <c r="T565" s="48">
        <v>17</v>
      </c>
      <c r="U565" s="145"/>
    </row>
    <row r="566" spans="1:21">
      <c r="A566" s="210" t="s">
        <v>264</v>
      </c>
      <c r="B566" s="114" t="str">
        <f>VLOOKUP(A566,'Data pick slip'!B:F,5,FALSE)</f>
        <v>KHJ-MC200-00</v>
      </c>
      <c r="C566" s="211"/>
      <c r="D566" s="212">
        <v>5</v>
      </c>
      <c r="E566" s="307" t="e">
        <f>VLOOKUP(C566,Stock_list!D:L,9,FALSE)</f>
        <v>#N/A</v>
      </c>
      <c r="F566" s="213" t="s">
        <v>21</v>
      </c>
      <c r="G566" s="214"/>
      <c r="H566" s="215"/>
      <c r="I566" s="217" t="s">
        <v>304</v>
      </c>
      <c r="J566" s="216" t="s">
        <v>307</v>
      </c>
      <c r="K566" s="93">
        <f>SUMIFS(Stock_list!$J$1:$J$80,Stock_list!$F$1:$F$80,"YSM20R-2",Stock_list!$B$1:$B$80,"TBA.",Stock_list!$P$1:$P$80,"#N/A")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7" t="s">
        <v>497</v>
      </c>
      <c r="T566" s="48">
        <v>8</v>
      </c>
      <c r="U566" s="145"/>
    </row>
    <row r="567" spans="1:21">
      <c r="A567" s="377" t="s">
        <v>265</v>
      </c>
      <c r="B567" s="114" t="str">
        <f>VLOOKUP(A567,'Data pick slip'!B:F,5,FALSE)</f>
        <v>KHJ-MC400-00</v>
      </c>
      <c r="C567" s="211"/>
      <c r="D567" s="212">
        <v>1</v>
      </c>
      <c r="E567" s="307" t="e">
        <f>VLOOKUP(C567,Stock_list!D:L,9,FALSE)</f>
        <v>#N/A</v>
      </c>
      <c r="F567" s="213" t="s">
        <v>21</v>
      </c>
      <c r="G567" s="214"/>
      <c r="H567" s="215"/>
      <c r="I567" s="217" t="s">
        <v>304</v>
      </c>
      <c r="J567" s="216" t="s">
        <v>307</v>
      </c>
      <c r="K567" s="93">
        <f>SUMIFS(Stock_list!$J$1:$J$80,Stock_list!$F$1:$F$80,"YSM20R-2",Stock_list!$B$1:$B$80,"TBA.",Stock_list!$P$1:$P$80,"#N/A")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55</v>
      </c>
      <c r="T567" s="330">
        <v>31</v>
      </c>
    </row>
    <row r="568" spans="1:21" ht="14.4">
      <c r="A568" s="210" t="s">
        <v>261</v>
      </c>
      <c r="B568" s="114" t="str">
        <f>VLOOKUP(A568,'Data pick slip'!B:F,5,FALSE)</f>
        <v>KHJ-MC100-00</v>
      </c>
      <c r="C568" s="211"/>
      <c r="D568" s="212">
        <v>50</v>
      </c>
      <c r="E568" s="307" t="e">
        <f>VLOOKUP(C568,Stock_list!D:L,9,FALSE)</f>
        <v>#N/A</v>
      </c>
      <c r="F568" s="213" t="s">
        <v>72</v>
      </c>
      <c r="G568" s="214"/>
      <c r="H568" s="215"/>
      <c r="I568" s="217" t="s">
        <v>304</v>
      </c>
      <c r="J568" s="216" t="s">
        <v>307</v>
      </c>
      <c r="K568" s="427">
        <f>SUMIFS(Stock_list!$J$1:$J$80,Stock_list!$F$1:$F$80,"YSM20R-2",Stock_list!$B$1:$B$80,"已经到货",Stock_list!$P$1:$P$80,"#N/A")</f>
        <v>3</v>
      </c>
      <c r="L568" s="9"/>
      <c r="M568" s="217"/>
      <c r="N568" s="214">
        <f t="shared" si="4"/>
        <v>150</v>
      </c>
      <c r="O568" s="122"/>
      <c r="P568" s="4"/>
      <c r="Q568" s="345"/>
      <c r="R568" s="345"/>
      <c r="S568" s="279" t="s">
        <v>141</v>
      </c>
      <c r="T568" s="48">
        <v>31</v>
      </c>
      <c r="U568" s="145"/>
    </row>
    <row r="569" spans="1:21" ht="14.4">
      <c r="A569" s="210" t="s">
        <v>264</v>
      </c>
      <c r="B569" s="114" t="str">
        <f>VLOOKUP(A569,'Data pick slip'!B:F,5,FALSE)</f>
        <v>KHJ-MC200-00</v>
      </c>
      <c r="C569" s="211"/>
      <c r="D569" s="212">
        <v>5</v>
      </c>
      <c r="E569" s="307" t="e">
        <f>VLOOKUP(C569,Stock_list!D:L,9,FALSE)</f>
        <v>#N/A</v>
      </c>
      <c r="F569" s="213" t="s">
        <v>72</v>
      </c>
      <c r="G569" s="214"/>
      <c r="H569" s="215"/>
      <c r="I569" s="217" t="s">
        <v>304</v>
      </c>
      <c r="J569" s="216" t="s">
        <v>307</v>
      </c>
      <c r="K569" s="93">
        <f>SUMIFS(Stock_list!$J$1:$J$80,Stock_list!$F$1:$F$80,"YSM20R-2",Stock_list!$B$1:$B$80,"已经到货",Stock_list!$P$1:$P$80,"#N/A")</f>
        <v>3</v>
      </c>
      <c r="L569" s="9"/>
      <c r="M569" s="217"/>
      <c r="N569" s="214">
        <f t="shared" si="4"/>
        <v>15</v>
      </c>
      <c r="O569" s="122"/>
      <c r="P569" s="4"/>
      <c r="Q569" s="345"/>
      <c r="R569" s="345"/>
      <c r="S569" s="337" t="s">
        <v>21</v>
      </c>
      <c r="T569" s="48">
        <v>10</v>
      </c>
      <c r="U569" s="145"/>
    </row>
    <row r="570" spans="1:21" ht="14.4">
      <c r="A570" s="377" t="s">
        <v>265</v>
      </c>
      <c r="B570" s="380" t="str">
        <f>VLOOKUP(A570,'Data pick slip'!B:F,5,FALSE)</f>
        <v>KHJ-MC400-00</v>
      </c>
      <c r="C570" s="211"/>
      <c r="D570" s="212">
        <v>1</v>
      </c>
      <c r="E570" s="307" t="e">
        <f>VLOOKUP(C570,Stock_list!D:L,9,FALSE)</f>
        <v>#N/A</v>
      </c>
      <c r="F570" s="213" t="s">
        <v>72</v>
      </c>
      <c r="G570" s="214"/>
      <c r="H570" s="215"/>
      <c r="I570" s="217" t="s">
        <v>304</v>
      </c>
      <c r="J570" s="216" t="s">
        <v>307</v>
      </c>
      <c r="K570" s="93">
        <f>SUMIFS(Stock_list!$J$1:$J$80,Stock_list!$F$1:$F$80,"YSM20R-2",Stock_list!$B$1:$B$80,"已经到货",Stock_list!$P$1:$P$80,"#N/A")</f>
        <v>3</v>
      </c>
      <c r="L570" s="9"/>
      <c r="M570" s="217"/>
      <c r="N570" s="214">
        <f t="shared" si="4"/>
        <v>3</v>
      </c>
      <c r="O570" s="122"/>
      <c r="P570" s="4"/>
      <c r="Q570" s="345"/>
      <c r="R570" s="345"/>
      <c r="S570" s="337" t="s">
        <v>72</v>
      </c>
      <c r="T570" s="48">
        <v>15</v>
      </c>
    </row>
    <row r="571" spans="1:21" s="251" customFormat="1">
      <c r="A571" s="363" t="s">
        <v>261</v>
      </c>
      <c r="B571" s="196" t="str">
        <f>VLOOKUP(A571,'Data pick slip'!B:F,5,FALSE)</f>
        <v>KHJ-MC100-00</v>
      </c>
      <c r="C571" s="364"/>
      <c r="D571" s="365">
        <v>50</v>
      </c>
      <c r="E571" s="366" t="e">
        <f>VLOOKUP(C571,Stock_list!D:L,9,FALSE)</f>
        <v>#N/A</v>
      </c>
      <c r="F571" s="367" t="s">
        <v>497</v>
      </c>
      <c r="G571" s="368"/>
      <c r="H571" s="369"/>
      <c r="I571" s="373" t="s">
        <v>304</v>
      </c>
      <c r="J571" s="370" t="s">
        <v>307</v>
      </c>
      <c r="K571" s="371">
        <f>SUMIFS(Stock_list!$J$1:$J$80,Stock_list!$F$1:$F$80,"YSM20R-2",Stock_list!$B$1:$B$80,"有交期",Stock_list!$P$1:$P$80,"#N/A")</f>
        <v>1</v>
      </c>
      <c r="L571" s="372"/>
      <c r="M571" s="373"/>
      <c r="N571" s="368">
        <f t="shared" si="4"/>
        <v>50</v>
      </c>
      <c r="O571" s="374"/>
      <c r="P571" s="12"/>
      <c r="Q571" s="375"/>
      <c r="R571" s="375"/>
      <c r="S571" s="337" t="s">
        <v>497</v>
      </c>
      <c r="T571" s="48">
        <v>6</v>
      </c>
      <c r="U571" s="376"/>
    </row>
    <row r="572" spans="1:21">
      <c r="A572" s="210" t="s">
        <v>264</v>
      </c>
      <c r="B572" s="114" t="str">
        <f>VLOOKUP(A572,'Data pick slip'!B:F,5,FALSE)</f>
        <v>KHJ-MC200-00</v>
      </c>
      <c r="C572" s="211"/>
      <c r="D572" s="212">
        <v>5</v>
      </c>
      <c r="E572" s="307" t="e">
        <f>VLOOKUP(C572,Stock_list!D:L,9,FALSE)</f>
        <v>#N/A</v>
      </c>
      <c r="F572" s="213" t="s">
        <v>497</v>
      </c>
      <c r="G572" s="214"/>
      <c r="H572" s="215"/>
      <c r="I572" s="217" t="s">
        <v>304</v>
      </c>
      <c r="J572" s="216" t="s">
        <v>307</v>
      </c>
      <c r="K572" s="93">
        <f>SUMIFS(Stock_list!$J$1:$J$80,Stock_list!$F$1:$F$80,"YSM20R-2",Stock_list!$B$1:$B$80,"有交期",Stock_list!$P$1:$P$80,"#N/A")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4"/>
      <c r="S572" s="49" t="s">
        <v>148</v>
      </c>
      <c r="T572" s="48">
        <v>66</v>
      </c>
      <c r="U572" s="145"/>
    </row>
    <row r="573" spans="1:21" s="241" customFormat="1" ht="16.5" customHeight="1" thickBot="1">
      <c r="A573" s="226" t="s">
        <v>265</v>
      </c>
      <c r="B573" s="378" t="str">
        <f>VLOOKUP(A573,'Data pick slip'!B:F,5,FALSE)</f>
        <v>KHJ-MC400-00</v>
      </c>
      <c r="C573" s="228"/>
      <c r="D573" s="229">
        <v>1</v>
      </c>
      <c r="E573" s="308" t="e">
        <f>VLOOKUP(C573,Stock_list!D:L,9,FALSE)</f>
        <v>#N/A</v>
      </c>
      <c r="F573" s="230" t="s">
        <v>497</v>
      </c>
      <c r="G573" s="231"/>
      <c r="H573" s="232"/>
      <c r="I573" s="234" t="s">
        <v>304</v>
      </c>
      <c r="J573" s="233" t="s">
        <v>307</v>
      </c>
      <c r="K573" s="95">
        <f>SUMIFS(Stock_list!$J$1:$J$80,Stock_list!$F$1:$F$80,"YSM20R-2",Stock_list!$B$1:$B$80,"有交期",Stock_list!$P$1:$P$80,"#N/A")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9"/>
      <c r="R573" s="379"/>
      <c r="S573" s="379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6"/>
      <c r="F574" s="198"/>
      <c r="G574" s="244">
        <f>SUM(G11:G573)</f>
        <v>5063</v>
      </c>
      <c r="H574" s="200"/>
      <c r="I574" s="245"/>
      <c r="J574" s="201"/>
      <c r="K574" s="247">
        <f>K573+K564+K561+K568+K558+K565</f>
        <v>28</v>
      </c>
      <c r="L574" s="246"/>
      <c r="M574" s="247">
        <f>SUM(M11:M573)</f>
        <v>10939</v>
      </c>
      <c r="N574" s="244">
        <f>SUM(N11:N573)</f>
        <v>3636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6"/>
      <c r="C575" s="197"/>
      <c r="D575" s="243"/>
      <c r="E575" s="306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4"/>
      <c r="J579" s="344"/>
      <c r="K579" s="47"/>
      <c r="P579" s="4"/>
      <c r="Q579" s="143"/>
    </row>
    <row r="580" spans="1:21" ht="16.5" customHeight="1">
      <c r="B580" s="114"/>
      <c r="I580" s="344"/>
      <c r="J580" s="344"/>
      <c r="K580" s="47"/>
      <c r="M580" s="253"/>
      <c r="P580" s="4"/>
      <c r="Q580" s="143"/>
    </row>
    <row r="581" spans="1:21" ht="14.4">
      <c r="B581" s="114"/>
      <c r="I581" s="314"/>
      <c r="J581" s="345"/>
      <c r="K581" s="345"/>
      <c r="Q581" s="143"/>
    </row>
    <row r="582" spans="1:21" ht="14.4">
      <c r="I582" s="314"/>
      <c r="J582" s="345"/>
      <c r="K582" s="345"/>
      <c r="M582" s="253"/>
      <c r="Q582" s="143"/>
    </row>
    <row r="583" spans="1:21" ht="14.4">
      <c r="I583" s="314"/>
      <c r="J583" s="345"/>
      <c r="K583" s="345"/>
      <c r="Q583" s="133"/>
    </row>
    <row r="584" spans="1:21" ht="14.4">
      <c r="A584" s="218"/>
      <c r="B584" s="254"/>
      <c r="C584" s="219"/>
      <c r="D584" s="220"/>
      <c r="E584" s="255"/>
      <c r="F584" s="221"/>
      <c r="G584" s="222"/>
      <c r="H584" s="223"/>
      <c r="I584" s="314"/>
      <c r="J584" s="345"/>
      <c r="K584" s="345"/>
      <c r="L584" s="10"/>
      <c r="M584" s="225"/>
      <c r="N584" s="222"/>
      <c r="P584" s="4"/>
      <c r="Q584" s="133"/>
      <c r="T584" s="144"/>
      <c r="U584" s="145"/>
    </row>
    <row r="585" spans="1:21" ht="14.4">
      <c r="B585" s="114"/>
      <c r="F585" s="221"/>
      <c r="G585" s="222"/>
      <c r="H585" s="223"/>
      <c r="I585" s="314"/>
      <c r="J585" s="345"/>
      <c r="K585" s="345"/>
      <c r="P585" s="4"/>
    </row>
    <row r="586" spans="1:21" ht="14.4">
      <c r="B586" s="114"/>
      <c r="F586" s="221"/>
      <c r="G586" s="222"/>
      <c r="H586" s="223"/>
      <c r="I586" s="314"/>
      <c r="J586" s="345"/>
      <c r="K586" s="345"/>
      <c r="P586" s="4"/>
    </row>
    <row r="587" spans="1:21" ht="14.4">
      <c r="I587" s="314"/>
      <c r="J587" s="345"/>
      <c r="K587" s="345"/>
    </row>
    <row r="588" spans="1:21" ht="14.4">
      <c r="I588" s="314"/>
      <c r="J588" s="345"/>
      <c r="K588" s="345"/>
    </row>
    <row r="589" spans="1:21" ht="14.4">
      <c r="I589" s="314"/>
      <c r="J589" s="345"/>
      <c r="K589" s="345"/>
    </row>
    <row r="590" spans="1:21" ht="14.4">
      <c r="I590" s="314"/>
      <c r="J590" s="345"/>
      <c r="K590" s="345"/>
    </row>
    <row r="591" spans="1:21" ht="14.4">
      <c r="I591" s="314"/>
      <c r="J591" s="345"/>
    </row>
    <row r="592" spans="1:21" ht="14.4">
      <c r="I592" s="314"/>
      <c r="J592" s="345"/>
    </row>
    <row r="605" spans="4:4">
      <c r="D605" s="206" t="s">
        <v>312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119" workbookViewId="0">
      <selection activeCell="F146" sqref="F146"/>
    </sheetView>
  </sheetViews>
  <sheetFormatPr defaultColWidth="9" defaultRowHeight="13.8"/>
  <cols>
    <col min="1" max="1" width="13.77734375" style="1" customWidth="1"/>
    <col min="2" max="2" width="11.21875" style="48" customWidth="1"/>
    <col min="3" max="3" width="10.44140625" style="48" customWidth="1"/>
    <col min="4" max="4" width="10.21875" style="48" customWidth="1"/>
    <col min="5" max="5" width="13.21875" style="48" customWidth="1"/>
    <col min="6" max="6" width="16" style="48" customWidth="1"/>
    <col min="7" max="7" width="13" style="66" customWidth="1"/>
    <col min="8" max="8" width="11.77734375" style="48" customWidth="1"/>
    <col min="9" max="9" width="11.44140625" style="48" customWidth="1"/>
    <col min="10" max="10" width="14.77734375" style="48" customWidth="1"/>
    <col min="11" max="11" width="12.21875" style="65" customWidth="1"/>
    <col min="12" max="12" width="11.44140625" style="48" customWidth="1"/>
    <col min="13" max="13" width="9.44140625" style="48" customWidth="1"/>
    <col min="14" max="14" width="7.77734375" style="48" customWidth="1"/>
    <col min="15" max="15" width="8.21875" style="48" customWidth="1"/>
    <col min="16" max="16" width="7.77734375" style="1" customWidth="1"/>
    <col min="17" max="17" width="15.21875" style="1" customWidth="1"/>
    <col min="18" max="16384" width="9" style="1"/>
  </cols>
  <sheetData>
    <row r="1" spans="1:15" hidden="1"/>
    <row r="2" spans="1:15" ht="17.25" hidden="1" customHeight="1">
      <c r="A2" s="2" t="s">
        <v>166</v>
      </c>
      <c r="B2" s="52" t="s">
        <v>196</v>
      </c>
      <c r="C2" s="52" t="s">
        <v>313</v>
      </c>
      <c r="D2" s="52" t="s">
        <v>314</v>
      </c>
      <c r="E2" s="53" t="s">
        <v>315</v>
      </c>
      <c r="F2" s="52" t="s">
        <v>316</v>
      </c>
      <c r="G2" s="52" t="s">
        <v>317</v>
      </c>
      <c r="H2" s="67" t="s">
        <v>318</v>
      </c>
      <c r="I2" s="67" t="s">
        <v>319</v>
      </c>
      <c r="J2" s="67" t="s">
        <v>320</v>
      </c>
      <c r="K2" s="83"/>
      <c r="L2" s="52" t="s">
        <v>321</v>
      </c>
      <c r="M2" s="52" t="s">
        <v>322</v>
      </c>
      <c r="N2" s="52" t="s">
        <v>321</v>
      </c>
      <c r="O2" s="80" t="s">
        <v>323</v>
      </c>
    </row>
    <row r="3" spans="1:15" hidden="1">
      <c r="A3" s="1" t="s">
        <v>324</v>
      </c>
      <c r="B3" s="48" t="s">
        <v>270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4229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2695</v>
      </c>
      <c r="O3" s="48">
        <f>G3+H3+L3</f>
        <v>2829</v>
      </c>
    </row>
    <row r="4" spans="1:15" s="7" customFormat="1" hidden="1">
      <c r="A4" s="1" t="s">
        <v>324</v>
      </c>
      <c r="B4" s="54" t="s">
        <v>227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478</v>
      </c>
      <c r="I4" s="54"/>
      <c r="J4" s="54"/>
      <c r="K4" s="84"/>
      <c r="L4" s="54">
        <f>C4-F4-H4</f>
        <v>-478</v>
      </c>
      <c r="M4" s="54"/>
      <c r="N4" s="54"/>
      <c r="O4" s="54">
        <f>G4+H4+L4</f>
        <v>0</v>
      </c>
    </row>
    <row r="5" spans="1:15" hidden="1">
      <c r="A5" s="1" t="s">
        <v>324</v>
      </c>
      <c r="B5" s="48" t="s">
        <v>314</v>
      </c>
      <c r="D5" s="48">
        <f>SUMIFS('NEW Feeder Reserved'!$G$1:$G$573,'NEW Feeder Reserved'!$A$1:$A$573,"SS 8mm",'NEW Feeder Reserved'!$F$1:$F$573,"Incoming")</f>
        <v>0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125</v>
      </c>
      <c r="M5" s="48">
        <f>D5+E5-I5-J5</f>
        <v>-125</v>
      </c>
      <c r="N5" s="48">
        <f>SUM(L3:L4)</f>
        <v>2217</v>
      </c>
    </row>
    <row r="6" spans="1:15" ht="14.4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325</v>
      </c>
      <c r="L6" s="90">
        <f>SUM(M5:N5)</f>
        <v>2092</v>
      </c>
      <c r="M6" s="90"/>
      <c r="N6" s="90"/>
    </row>
    <row r="7" spans="1:15" hidden="1">
      <c r="A7" s="1" t="s">
        <v>326</v>
      </c>
      <c r="B7" s="48" t="s">
        <v>270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745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637</v>
      </c>
      <c r="O7" s="48">
        <f>G7+H7+L7</f>
        <v>653</v>
      </c>
    </row>
    <row r="8" spans="1:15" s="7" customFormat="1" hidden="1">
      <c r="A8" s="1" t="s">
        <v>326</v>
      </c>
      <c r="B8" s="54" t="s">
        <v>227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70</v>
      </c>
      <c r="I8" s="54"/>
      <c r="J8" s="54"/>
      <c r="K8" s="84"/>
      <c r="L8" s="54">
        <f>C8-F8-H8</f>
        <v>-70</v>
      </c>
      <c r="M8" s="54"/>
      <c r="N8" s="54"/>
      <c r="O8" s="54">
        <f>G8+H8+L8</f>
        <v>0</v>
      </c>
    </row>
    <row r="9" spans="1:15" hidden="1">
      <c r="A9" s="1" t="s">
        <v>326</v>
      </c>
      <c r="B9" s="48" t="s">
        <v>279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35</v>
      </c>
      <c r="M9" s="48">
        <f>D9+E9-I9-J9</f>
        <v>-35</v>
      </c>
      <c r="N9" s="48">
        <f>SUM(L7:L8)</f>
        <v>567</v>
      </c>
    </row>
    <row r="10" spans="1:15" ht="14.4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327</v>
      </c>
      <c r="L10" s="90">
        <f>SUM(M9:N9)</f>
        <v>532</v>
      </c>
      <c r="M10" s="90"/>
      <c r="N10" s="90"/>
    </row>
    <row r="11" spans="1:15" hidden="1">
      <c r="A11" s="1" t="s">
        <v>294</v>
      </c>
      <c r="B11" s="48" t="s">
        <v>270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294</v>
      </c>
      <c r="B12" s="54" t="s">
        <v>227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18</v>
      </c>
      <c r="I12" s="54"/>
      <c r="J12" s="54"/>
      <c r="K12" s="84"/>
      <c r="L12" s="54">
        <f>C12-F12-H12</f>
        <v>-18</v>
      </c>
      <c r="M12" s="54"/>
      <c r="N12" s="54"/>
      <c r="O12" s="54">
        <f>G12+H12+L12</f>
        <v>0</v>
      </c>
    </row>
    <row r="13" spans="1:15" hidden="1">
      <c r="A13" s="1" t="s">
        <v>294</v>
      </c>
      <c r="B13" s="48" t="s">
        <v>279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7</v>
      </c>
      <c r="M13" s="48">
        <f>D13+E13-I13-J13</f>
        <v>-7</v>
      </c>
      <c r="N13" s="48">
        <f>SUM(L11:L12)</f>
        <v>117</v>
      </c>
    </row>
    <row r="14" spans="1:15" ht="14.4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328</v>
      </c>
      <c r="L14" s="90">
        <f>SUM(M13:N13)</f>
        <v>110</v>
      </c>
      <c r="M14" s="90"/>
      <c r="N14" s="90"/>
    </row>
    <row r="15" spans="1:15" ht="15" hidden="1" customHeight="1">
      <c r="A15" s="1" t="s">
        <v>329</v>
      </c>
      <c r="B15" s="48" t="s">
        <v>270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329</v>
      </c>
      <c r="B16" s="54" t="s">
        <v>227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7</v>
      </c>
      <c r="I16" s="54"/>
      <c r="J16" s="54"/>
      <c r="K16" s="84"/>
      <c r="L16" s="54">
        <f>C16-F16-H16</f>
        <v>49</v>
      </c>
      <c r="M16" s="54"/>
      <c r="N16" s="54"/>
      <c r="O16" s="54">
        <f>G16+H16+L16</f>
        <v>56</v>
      </c>
    </row>
    <row r="17" spans="1:15" hidden="1">
      <c r="A17" s="1" t="s">
        <v>329</v>
      </c>
      <c r="B17" s="48" t="s">
        <v>279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189</v>
      </c>
    </row>
    <row r="18" spans="1:15" ht="14.4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330</v>
      </c>
      <c r="L18" s="90">
        <f>SUM(M17:N17)</f>
        <v>189</v>
      </c>
      <c r="M18" s="90"/>
      <c r="N18" s="90"/>
    </row>
    <row r="19" spans="1:15" hidden="1">
      <c r="A19" s="1" t="s">
        <v>331</v>
      </c>
      <c r="B19" s="48" t="s">
        <v>270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331</v>
      </c>
      <c r="B20" s="54" t="s">
        <v>227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2</v>
      </c>
      <c r="I20" s="54"/>
      <c r="J20" s="54"/>
      <c r="K20" s="84"/>
      <c r="L20" s="54">
        <f>C20-F20-H20</f>
        <v>2</v>
      </c>
      <c r="M20" s="54"/>
      <c r="N20" s="54"/>
      <c r="O20" s="54">
        <f>G20+H20+L20</f>
        <v>4</v>
      </c>
    </row>
    <row r="21" spans="1:15" hidden="1">
      <c r="A21" s="1" t="s">
        <v>331</v>
      </c>
      <c r="B21" s="48" t="s">
        <v>279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56</v>
      </c>
    </row>
    <row r="22" spans="1:15" ht="14.4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332</v>
      </c>
      <c r="L22" s="90">
        <f>SUM(M21:N21)</f>
        <v>56</v>
      </c>
      <c r="M22" s="90"/>
      <c r="N22" s="90"/>
    </row>
    <row r="23" spans="1:15" hidden="1">
      <c r="A23" s="1" t="s">
        <v>333</v>
      </c>
      <c r="B23" s="48" t="s">
        <v>270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333</v>
      </c>
      <c r="B24" s="54" t="s">
        <v>227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333</v>
      </c>
      <c r="B25" s="48" t="s">
        <v>279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t="14.4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334</v>
      </c>
      <c r="L26" s="90">
        <f>SUM(M25:N25)</f>
        <v>2</v>
      </c>
      <c r="M26" s="90"/>
      <c r="N26" s="90"/>
    </row>
    <row r="27" spans="1:15" hidden="1">
      <c r="A27" s="1" t="s">
        <v>335</v>
      </c>
      <c r="B27" s="48" t="s">
        <v>270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335</v>
      </c>
      <c r="B28" s="54" t="s">
        <v>227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335</v>
      </c>
      <c r="B29" s="48" t="s">
        <v>279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t="14.4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336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337</v>
      </c>
      <c r="B32" s="48" t="s">
        <v>270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337</v>
      </c>
      <c r="B33" s="54" t="s">
        <v>227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337</v>
      </c>
      <c r="B34" s="48" t="s">
        <v>279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t="14.4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338</v>
      </c>
      <c r="L35" s="57">
        <f>SUM(M34:N34)</f>
        <v>0</v>
      </c>
      <c r="M35" s="57"/>
      <c r="N35" s="57"/>
    </row>
    <row r="36" spans="1:15" hidden="1">
      <c r="A36" s="1" t="s">
        <v>339</v>
      </c>
      <c r="B36" s="48" t="s">
        <v>270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339</v>
      </c>
      <c r="B37" s="54" t="s">
        <v>227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339</v>
      </c>
      <c r="B38" s="48" t="s">
        <v>279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t="14.4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340</v>
      </c>
      <c r="L39" s="90">
        <f>SUM(M38:N38)</f>
        <v>73</v>
      </c>
      <c r="M39" s="90"/>
      <c r="N39" s="90"/>
    </row>
    <row r="40" spans="1:15" hidden="1">
      <c r="A40" s="1" t="s">
        <v>341</v>
      </c>
      <c r="B40" s="48" t="s">
        <v>270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341</v>
      </c>
      <c r="B41" s="54" t="s">
        <v>227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0</v>
      </c>
      <c r="I41" s="54"/>
      <c r="J41" s="54"/>
      <c r="K41" s="84"/>
      <c r="L41" s="54">
        <f>C41-F41-H41</f>
        <v>330</v>
      </c>
      <c r="M41" s="54"/>
      <c r="N41" s="54"/>
      <c r="O41" s="54">
        <f>G41+H41+L41</f>
        <v>330</v>
      </c>
    </row>
    <row r="42" spans="1:15" hidden="1">
      <c r="A42" s="1" t="s">
        <v>341</v>
      </c>
      <c r="B42" s="48" t="s">
        <v>279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407</v>
      </c>
    </row>
    <row r="43" spans="1:15" ht="14.4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342</v>
      </c>
      <c r="L43" s="90">
        <f>SUM(M42:N42)</f>
        <v>407</v>
      </c>
      <c r="M43" s="90"/>
      <c r="N43" s="90"/>
    </row>
    <row r="44" spans="1:15" hidden="1">
      <c r="A44" s="1" t="s">
        <v>343</v>
      </c>
      <c r="B44" s="48" t="s">
        <v>270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343</v>
      </c>
      <c r="B45" s="54" t="s">
        <v>227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0</v>
      </c>
      <c r="I45" s="54"/>
      <c r="J45" s="54"/>
      <c r="K45" s="84"/>
      <c r="L45" s="54">
        <f>C45-F45-H45</f>
        <v>60</v>
      </c>
      <c r="M45" s="54"/>
      <c r="N45" s="54"/>
      <c r="O45" s="54">
        <f>G45+H45+L45</f>
        <v>60</v>
      </c>
    </row>
    <row r="46" spans="1:15" hidden="1">
      <c r="A46" s="1" t="s">
        <v>343</v>
      </c>
      <c r="B46" s="48" t="s">
        <v>279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118</v>
      </c>
    </row>
    <row r="47" spans="1:15" ht="14.4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344</v>
      </c>
      <c r="L47" s="90">
        <f>SUM(M46:N46)</f>
        <v>118</v>
      </c>
      <c r="M47" s="90"/>
      <c r="N47" s="90"/>
    </row>
    <row r="48" spans="1:15" hidden="1">
      <c r="A48" s="1" t="s">
        <v>345</v>
      </c>
      <c r="B48" s="48" t="s">
        <v>270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345</v>
      </c>
      <c r="B49" s="54" t="s">
        <v>227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0</v>
      </c>
      <c r="I49" s="54"/>
      <c r="J49" s="54"/>
      <c r="K49" s="84"/>
      <c r="L49" s="54">
        <f>C49-F49-H49</f>
        <v>17</v>
      </c>
      <c r="M49" s="54"/>
      <c r="N49" s="54"/>
      <c r="O49" s="54">
        <f>G49+H49+L49</f>
        <v>17</v>
      </c>
    </row>
    <row r="50" spans="1:15" hidden="1">
      <c r="A50" s="1" t="s">
        <v>345</v>
      </c>
      <c r="B50" s="48" t="s">
        <v>279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42</v>
      </c>
    </row>
    <row r="51" spans="1:15" ht="14.4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346</v>
      </c>
      <c r="L51" s="90">
        <f>SUM(M50:N50)</f>
        <v>42</v>
      </c>
      <c r="M51" s="90"/>
      <c r="N51" s="90"/>
    </row>
    <row r="52" spans="1:15" hidden="1">
      <c r="A52" s="1" t="s">
        <v>347</v>
      </c>
      <c r="B52" s="48" t="s">
        <v>270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347</v>
      </c>
      <c r="B53" s="54" t="s">
        <v>227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0</v>
      </c>
      <c r="I53" s="54"/>
      <c r="J53" s="54"/>
      <c r="K53" s="84"/>
      <c r="L53" s="54">
        <f>C53-F53-H53</f>
        <v>7</v>
      </c>
      <c r="M53" s="54"/>
      <c r="N53" s="54"/>
      <c r="O53" s="54">
        <f>G53+H53+L53</f>
        <v>7</v>
      </c>
    </row>
    <row r="54" spans="1:15" hidden="1">
      <c r="A54" s="1" t="s">
        <v>347</v>
      </c>
      <c r="B54" s="48" t="s">
        <v>279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11</v>
      </c>
    </row>
    <row r="55" spans="1:15" ht="14.4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348</v>
      </c>
      <c r="L55" s="90">
        <f>SUM(M54:N54)</f>
        <v>11</v>
      </c>
      <c r="M55" s="90"/>
      <c r="N55" s="90"/>
    </row>
    <row r="56" spans="1:15" hidden="1">
      <c r="A56" s="1" t="s">
        <v>349</v>
      </c>
      <c r="B56" s="48" t="s">
        <v>270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349</v>
      </c>
      <c r="B57" s="54" t="s">
        <v>227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349</v>
      </c>
      <c r="B58" s="48" t="s">
        <v>279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t="14.4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350</v>
      </c>
      <c r="L59" s="90">
        <f>SUM(M58:N58)</f>
        <v>1</v>
      </c>
      <c r="M59" s="90"/>
      <c r="N59" s="90"/>
    </row>
    <row r="60" spans="1:15" hidden="1">
      <c r="A60" s="1" t="s">
        <v>351</v>
      </c>
      <c r="B60" s="48" t="s">
        <v>270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351</v>
      </c>
      <c r="B61" s="54" t="s">
        <v>227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351</v>
      </c>
      <c r="B62" s="48" t="s">
        <v>279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t="14.4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352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0</v>
      </c>
      <c r="E65" s="58">
        <f>SUM(E3:E63)</f>
        <v>0</v>
      </c>
      <c r="F65" s="71">
        <f>SUM(F3:F63)+2+2+1+1</f>
        <v>10945</v>
      </c>
      <c r="G65" s="72">
        <f>SUM(G3:G64)</f>
        <v>40</v>
      </c>
      <c r="H65" s="58">
        <f>SUM(H3:H64)</f>
        <v>823</v>
      </c>
      <c r="I65" s="58">
        <f>SUM(I3:I64)</f>
        <v>0</v>
      </c>
      <c r="J65" s="58">
        <f>SUM(J3:J63)</f>
        <v>167</v>
      </c>
      <c r="K65" s="87"/>
      <c r="L65" s="71">
        <f>SUM(L63,L59,L55,L51,L47,L43,L39,L30,L26,L22,L18,L14,L10,L6)</f>
        <v>3633</v>
      </c>
      <c r="M65" s="71">
        <f>SUM(M4:M64)</f>
        <v>-167</v>
      </c>
      <c r="N65" s="71">
        <f>SUM(N5:N64)</f>
        <v>3800</v>
      </c>
    </row>
    <row r="66" spans="1:15" hidden="1">
      <c r="D66" s="48">
        <f>SUM(C65:E65)</f>
        <v>15562</v>
      </c>
      <c r="I66" s="48">
        <f>SUM(H65:J65)</f>
        <v>990</v>
      </c>
      <c r="O66" s="48">
        <f>SUM(O3:O65)</f>
        <v>4663</v>
      </c>
    </row>
    <row r="67" spans="1:15" hidden="1"/>
    <row r="69" spans="1:15" ht="17.399999999999999">
      <c r="A69" s="647" t="s">
        <v>353</v>
      </c>
      <c r="B69" s="649" t="s">
        <v>167</v>
      </c>
      <c r="C69" s="649"/>
      <c r="D69" s="649"/>
      <c r="E69" s="649"/>
      <c r="F69" s="650" t="s">
        <v>315</v>
      </c>
      <c r="G69" s="650"/>
      <c r="H69" s="650"/>
      <c r="I69" s="651" t="s">
        <v>189</v>
      </c>
      <c r="J69" s="651"/>
      <c r="K69" s="651"/>
    </row>
    <row r="70" spans="1:15" ht="14.4">
      <c r="A70" s="647"/>
      <c r="B70" s="59" t="s">
        <v>167</v>
      </c>
      <c r="C70" s="59" t="s">
        <v>354</v>
      </c>
      <c r="D70" s="59" t="s">
        <v>355</v>
      </c>
      <c r="E70" s="59" t="s">
        <v>356</v>
      </c>
      <c r="F70" s="73" t="s">
        <v>357</v>
      </c>
      <c r="G70" s="74" t="s">
        <v>358</v>
      </c>
      <c r="H70" s="75" t="s">
        <v>359</v>
      </c>
      <c r="I70" s="76" t="s">
        <v>360</v>
      </c>
      <c r="J70" s="76" t="s">
        <v>361</v>
      </c>
      <c r="K70" s="76" t="s">
        <v>362</v>
      </c>
    </row>
    <row r="71" spans="1:15">
      <c r="A71" s="423" t="s">
        <v>324</v>
      </c>
      <c r="B71" s="546">
        <f>C4-F4</f>
        <v>0</v>
      </c>
      <c r="C71" s="494">
        <f>G4</f>
        <v>0</v>
      </c>
      <c r="D71" s="494">
        <f>H4</f>
        <v>478</v>
      </c>
      <c r="E71" s="494">
        <f>B71+C71-D71</f>
        <v>-478</v>
      </c>
      <c r="F71" s="495">
        <f>E5</f>
        <v>0</v>
      </c>
      <c r="G71" s="495">
        <f>J5</f>
        <v>125</v>
      </c>
      <c r="H71" s="496">
        <f>F71-G71</f>
        <v>-125</v>
      </c>
      <c r="I71" s="497">
        <f>D5</f>
        <v>0</v>
      </c>
      <c r="J71" s="497">
        <f>I5</f>
        <v>0</v>
      </c>
      <c r="K71" s="497">
        <f>I71-J71</f>
        <v>0</v>
      </c>
      <c r="M71" s="48">
        <f>E71+F71+B90-D90-G71-J71</f>
        <v>2052</v>
      </c>
    </row>
    <row r="72" spans="1:15">
      <c r="A72" s="423" t="s">
        <v>326</v>
      </c>
      <c r="B72" s="546">
        <f>C8-F8</f>
        <v>0</v>
      </c>
      <c r="C72" s="494">
        <f>G8</f>
        <v>0</v>
      </c>
      <c r="D72" s="494">
        <f>H8</f>
        <v>70</v>
      </c>
      <c r="E72" s="494">
        <f t="shared" ref="E72:E85" si="0">B72+C72-D72</f>
        <v>-70</v>
      </c>
      <c r="F72" s="495">
        <f>E9</f>
        <v>0</v>
      </c>
      <c r="G72" s="495">
        <f>J9</f>
        <v>35</v>
      </c>
      <c r="H72" s="496">
        <f t="shared" ref="H72:H85" si="1">F72-G72</f>
        <v>-35</v>
      </c>
      <c r="I72" s="497">
        <f>D9</f>
        <v>0</v>
      </c>
      <c r="J72" s="497">
        <f>I9</f>
        <v>0</v>
      </c>
      <c r="K72" s="497">
        <f t="shared" ref="K72:K85" si="2">I72-J72</f>
        <v>0</v>
      </c>
      <c r="M72" s="48">
        <f t="shared" ref="M72:M85" si="3">E72+F72+B91-D91-G72-J72</f>
        <v>532</v>
      </c>
    </row>
    <row r="73" spans="1:15">
      <c r="A73" s="423" t="s">
        <v>294</v>
      </c>
      <c r="B73" s="546">
        <f>C12-F12</f>
        <v>0</v>
      </c>
      <c r="C73" s="494">
        <f>G12</f>
        <v>0</v>
      </c>
      <c r="D73" s="494">
        <f>H12</f>
        <v>18</v>
      </c>
      <c r="E73" s="494">
        <f t="shared" si="0"/>
        <v>-18</v>
      </c>
      <c r="F73" s="495">
        <f>E13</f>
        <v>0</v>
      </c>
      <c r="G73" s="495">
        <f>J13</f>
        <v>7</v>
      </c>
      <c r="H73" s="496">
        <f t="shared" si="1"/>
        <v>-7</v>
      </c>
      <c r="I73" s="497">
        <f>D13</f>
        <v>0</v>
      </c>
      <c r="J73" s="497">
        <f>I13</f>
        <v>0</v>
      </c>
      <c r="K73" s="497">
        <f t="shared" si="2"/>
        <v>0</v>
      </c>
      <c r="M73" s="48">
        <f t="shared" si="3"/>
        <v>110</v>
      </c>
    </row>
    <row r="74" spans="1:15">
      <c r="A74" s="47" t="s">
        <v>329</v>
      </c>
      <c r="B74" s="546">
        <f>C16-F16</f>
        <v>56</v>
      </c>
      <c r="C74" s="494">
        <f>G16</f>
        <v>0</v>
      </c>
      <c r="D74" s="494">
        <f>H16</f>
        <v>7</v>
      </c>
      <c r="E74" s="494">
        <f>B74+C74-D74</f>
        <v>49</v>
      </c>
      <c r="F74" s="495">
        <f>E17</f>
        <v>0</v>
      </c>
      <c r="G74" s="495">
        <f>J17</f>
        <v>0</v>
      </c>
      <c r="H74" s="496">
        <f t="shared" si="1"/>
        <v>0</v>
      </c>
      <c r="I74" s="497">
        <f>D17</f>
        <v>0</v>
      </c>
      <c r="J74" s="497">
        <f>I17</f>
        <v>0</v>
      </c>
      <c r="K74" s="497">
        <f t="shared" si="2"/>
        <v>0</v>
      </c>
      <c r="M74" s="48">
        <f t="shared" si="3"/>
        <v>189</v>
      </c>
    </row>
    <row r="75" spans="1:15">
      <c r="A75" s="47" t="s">
        <v>331</v>
      </c>
      <c r="B75" s="546">
        <f>C20-F20</f>
        <v>4</v>
      </c>
      <c r="C75" s="494">
        <f>G20</f>
        <v>0</v>
      </c>
      <c r="D75" s="494">
        <f>H20</f>
        <v>2</v>
      </c>
      <c r="E75" s="494">
        <f t="shared" si="0"/>
        <v>2</v>
      </c>
      <c r="F75" s="495">
        <f>E21</f>
        <v>0</v>
      </c>
      <c r="G75" s="495">
        <f>J21</f>
        <v>0</v>
      </c>
      <c r="H75" s="496">
        <f t="shared" si="1"/>
        <v>0</v>
      </c>
      <c r="I75" s="497">
        <f>D21</f>
        <v>0</v>
      </c>
      <c r="J75" s="497">
        <f>I21</f>
        <v>0</v>
      </c>
      <c r="K75" s="497">
        <f t="shared" si="2"/>
        <v>0</v>
      </c>
      <c r="M75" s="48">
        <f t="shared" si="3"/>
        <v>56</v>
      </c>
    </row>
    <row r="76" spans="1:15">
      <c r="A76" s="423" t="s">
        <v>333</v>
      </c>
      <c r="B76" s="546">
        <f>C24-F24</f>
        <v>0</v>
      </c>
      <c r="C76" s="494">
        <f>G24</f>
        <v>0</v>
      </c>
      <c r="D76" s="494">
        <f>H24</f>
        <v>0</v>
      </c>
      <c r="E76" s="494">
        <f t="shared" si="0"/>
        <v>0</v>
      </c>
      <c r="F76" s="495">
        <f>E25</f>
        <v>0</v>
      </c>
      <c r="G76" s="495">
        <f>J25</f>
        <v>0</v>
      </c>
      <c r="H76" s="496">
        <f t="shared" si="1"/>
        <v>0</v>
      </c>
      <c r="I76" s="497">
        <f>D25</f>
        <v>0</v>
      </c>
      <c r="J76" s="497">
        <f>I25</f>
        <v>0</v>
      </c>
      <c r="K76" s="497">
        <f t="shared" si="2"/>
        <v>0</v>
      </c>
      <c r="M76" s="48">
        <f t="shared" si="3"/>
        <v>2</v>
      </c>
    </row>
    <row r="77" spans="1:15">
      <c r="A77" s="423" t="s">
        <v>335</v>
      </c>
      <c r="B77" s="546">
        <f>C28-F28</f>
        <v>0</v>
      </c>
      <c r="C77" s="494">
        <f>G28</f>
        <v>0</v>
      </c>
      <c r="D77" s="494">
        <f>H28</f>
        <v>0</v>
      </c>
      <c r="E77" s="494">
        <f t="shared" si="0"/>
        <v>0</v>
      </c>
      <c r="F77" s="495">
        <f>E29</f>
        <v>0</v>
      </c>
      <c r="G77" s="495">
        <f>J29</f>
        <v>0</v>
      </c>
      <c r="H77" s="496">
        <f t="shared" si="1"/>
        <v>0</v>
      </c>
      <c r="I77" s="497">
        <f>D29</f>
        <v>0</v>
      </c>
      <c r="J77" s="497">
        <f>I29</f>
        <v>0</v>
      </c>
      <c r="K77" s="497">
        <f t="shared" si="2"/>
        <v>0</v>
      </c>
      <c r="M77" s="48">
        <f t="shared" si="3"/>
        <v>0</v>
      </c>
    </row>
    <row r="78" spans="1:15">
      <c r="A78" s="423" t="s">
        <v>363</v>
      </c>
      <c r="B78" s="546">
        <f>C33-F33</f>
        <v>2</v>
      </c>
      <c r="C78" s="494">
        <f>G33</f>
        <v>0</v>
      </c>
      <c r="D78" s="494">
        <f>H33</f>
        <v>2</v>
      </c>
      <c r="E78" s="494">
        <f>B78+C78-D78</f>
        <v>0</v>
      </c>
      <c r="F78" s="495">
        <f>E34</f>
        <v>0</v>
      </c>
      <c r="G78" s="495">
        <f>J34</f>
        <v>0</v>
      </c>
      <c r="H78" s="496">
        <f>F78-G78</f>
        <v>0</v>
      </c>
      <c r="I78" s="497">
        <f>D34</f>
        <v>0</v>
      </c>
      <c r="J78" s="497">
        <f>I34</f>
        <v>0</v>
      </c>
      <c r="K78" s="497">
        <f>I78-J78</f>
        <v>0</v>
      </c>
      <c r="M78" s="48">
        <f t="shared" si="3"/>
        <v>0</v>
      </c>
    </row>
    <row r="79" spans="1:15">
      <c r="A79" s="423" t="s">
        <v>364</v>
      </c>
      <c r="B79" s="546">
        <f>C37-F37</f>
        <v>163</v>
      </c>
      <c r="C79" s="494">
        <f>G37</f>
        <v>0</v>
      </c>
      <c r="D79" s="494">
        <f>H37</f>
        <v>100</v>
      </c>
      <c r="E79" s="494">
        <f>B79+C79-D79</f>
        <v>63</v>
      </c>
      <c r="F79" s="495">
        <f>E38</f>
        <v>0</v>
      </c>
      <c r="G79" s="495">
        <f>J38</f>
        <v>0</v>
      </c>
      <c r="H79" s="496">
        <f>F79-G79</f>
        <v>0</v>
      </c>
      <c r="I79" s="497">
        <f>D38</f>
        <v>0</v>
      </c>
      <c r="J79" s="497">
        <f>I38</f>
        <v>0</v>
      </c>
      <c r="K79" s="497">
        <f>I79-J79</f>
        <v>0</v>
      </c>
      <c r="M79" s="48">
        <f t="shared" si="3"/>
        <v>73</v>
      </c>
    </row>
    <row r="80" spans="1:15">
      <c r="A80" s="47" t="s">
        <v>341</v>
      </c>
      <c r="B80" s="546">
        <f>C41-F41</f>
        <v>330</v>
      </c>
      <c r="C80" s="494">
        <f>G41</f>
        <v>0</v>
      </c>
      <c r="D80" s="494">
        <f>H41</f>
        <v>0</v>
      </c>
      <c r="E80" s="494">
        <f t="shared" si="0"/>
        <v>330</v>
      </c>
      <c r="F80" s="495">
        <f>E42</f>
        <v>0</v>
      </c>
      <c r="G80" s="495">
        <f>J42</f>
        <v>0</v>
      </c>
      <c r="H80" s="496">
        <f t="shared" si="1"/>
        <v>0</v>
      </c>
      <c r="I80" s="497">
        <f>D42</f>
        <v>0</v>
      </c>
      <c r="J80" s="497">
        <f>I42</f>
        <v>0</v>
      </c>
      <c r="K80" s="497">
        <f t="shared" si="2"/>
        <v>0</v>
      </c>
      <c r="M80" s="48">
        <f t="shared" si="3"/>
        <v>407</v>
      </c>
    </row>
    <row r="81" spans="1:13">
      <c r="A81" s="423" t="s">
        <v>343</v>
      </c>
      <c r="B81" s="546">
        <f>C45-F45</f>
        <v>60</v>
      </c>
      <c r="C81" s="494">
        <f>G45</f>
        <v>0</v>
      </c>
      <c r="D81" s="494">
        <f>H45</f>
        <v>0</v>
      </c>
      <c r="E81" s="494">
        <f t="shared" si="0"/>
        <v>60</v>
      </c>
      <c r="F81" s="495">
        <f>E46</f>
        <v>0</v>
      </c>
      <c r="G81" s="495">
        <f>J46</f>
        <v>0</v>
      </c>
      <c r="H81" s="496">
        <f t="shared" si="1"/>
        <v>0</v>
      </c>
      <c r="I81" s="497">
        <f>D46</f>
        <v>0</v>
      </c>
      <c r="J81" s="497">
        <f>I46</f>
        <v>0</v>
      </c>
      <c r="K81" s="497">
        <f t="shared" si="2"/>
        <v>0</v>
      </c>
      <c r="M81" s="48">
        <f t="shared" si="3"/>
        <v>118</v>
      </c>
    </row>
    <row r="82" spans="1:13">
      <c r="A82" s="47" t="s">
        <v>345</v>
      </c>
      <c r="B82" s="546">
        <f>C49-F49</f>
        <v>17</v>
      </c>
      <c r="C82" s="494">
        <f>G49</f>
        <v>0</v>
      </c>
      <c r="D82" s="494">
        <f>H49</f>
        <v>0</v>
      </c>
      <c r="E82" s="494">
        <f t="shared" si="0"/>
        <v>17</v>
      </c>
      <c r="F82" s="495">
        <f>E50</f>
        <v>0</v>
      </c>
      <c r="G82" s="495">
        <f>J50</f>
        <v>0</v>
      </c>
      <c r="H82" s="496">
        <f t="shared" si="1"/>
        <v>0</v>
      </c>
      <c r="I82" s="497">
        <f>D50</f>
        <v>0</v>
      </c>
      <c r="J82" s="497">
        <f>I50</f>
        <v>0</v>
      </c>
      <c r="K82" s="497">
        <f t="shared" si="2"/>
        <v>0</v>
      </c>
      <c r="M82" s="48">
        <f t="shared" si="3"/>
        <v>42</v>
      </c>
    </row>
    <row r="83" spans="1:13">
      <c r="A83" s="47" t="s">
        <v>347</v>
      </c>
      <c r="B83" s="546">
        <f>C53-F53</f>
        <v>7</v>
      </c>
      <c r="C83" s="494">
        <f>G53</f>
        <v>0</v>
      </c>
      <c r="D83" s="494">
        <f>H53</f>
        <v>0</v>
      </c>
      <c r="E83" s="494">
        <f t="shared" si="0"/>
        <v>7</v>
      </c>
      <c r="F83" s="495">
        <f>E54</f>
        <v>0</v>
      </c>
      <c r="G83" s="495">
        <f>J54</f>
        <v>0</v>
      </c>
      <c r="H83" s="496">
        <f t="shared" si="1"/>
        <v>0</v>
      </c>
      <c r="I83" s="497">
        <f>D54</f>
        <v>0</v>
      </c>
      <c r="J83" s="497">
        <f>I54</f>
        <v>0</v>
      </c>
      <c r="K83" s="497">
        <f t="shared" si="2"/>
        <v>0</v>
      </c>
      <c r="M83" s="48">
        <f t="shared" si="3"/>
        <v>11</v>
      </c>
    </row>
    <row r="84" spans="1:13">
      <c r="A84" s="423" t="s">
        <v>349</v>
      </c>
      <c r="B84" s="546">
        <f>C57-F57</f>
        <v>1</v>
      </c>
      <c r="C84" s="494">
        <f>G57</f>
        <v>0</v>
      </c>
      <c r="D84" s="494">
        <f>H57</f>
        <v>0</v>
      </c>
      <c r="E84" s="494">
        <f t="shared" si="0"/>
        <v>1</v>
      </c>
      <c r="F84" s="495">
        <f>E58</f>
        <v>0</v>
      </c>
      <c r="G84" s="495">
        <f>J58</f>
        <v>0</v>
      </c>
      <c r="H84" s="496">
        <f t="shared" si="1"/>
        <v>0</v>
      </c>
      <c r="I84" s="497">
        <f>D58</f>
        <v>0</v>
      </c>
      <c r="J84" s="497">
        <f>I58</f>
        <v>0</v>
      </c>
      <c r="K84" s="497">
        <f t="shared" si="2"/>
        <v>0</v>
      </c>
      <c r="M84" s="48">
        <f t="shared" si="3"/>
        <v>1</v>
      </c>
    </row>
    <row r="85" spans="1:13">
      <c r="A85" s="423" t="s">
        <v>351</v>
      </c>
      <c r="B85" s="546">
        <f>C61-F61</f>
        <v>0</v>
      </c>
      <c r="C85" s="494">
        <f>G61</f>
        <v>0</v>
      </c>
      <c r="D85" s="494">
        <f>H61</f>
        <v>0</v>
      </c>
      <c r="E85" s="494">
        <f t="shared" si="0"/>
        <v>0</v>
      </c>
      <c r="F85" s="495">
        <f>E62</f>
        <v>0</v>
      </c>
      <c r="G85" s="495">
        <f>J62</f>
        <v>0</v>
      </c>
      <c r="H85" s="496">
        <f t="shared" si="1"/>
        <v>0</v>
      </c>
      <c r="I85" s="497">
        <f>D62</f>
        <v>0</v>
      </c>
      <c r="J85" s="497">
        <f>I62</f>
        <v>0</v>
      </c>
      <c r="K85" s="497">
        <f t="shared" si="2"/>
        <v>0</v>
      </c>
      <c r="M85" s="48">
        <f t="shared" si="3"/>
        <v>0</v>
      </c>
    </row>
    <row r="86" spans="1:13" ht="14.4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677</v>
      </c>
      <c r="E86" s="61">
        <f t="shared" si="4"/>
        <v>-37</v>
      </c>
      <c r="F86" s="77">
        <f t="shared" si="4"/>
        <v>0</v>
      </c>
      <c r="G86" s="78">
        <f t="shared" si="4"/>
        <v>167</v>
      </c>
      <c r="H86" s="77">
        <f t="shared" si="4"/>
        <v>-167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4.4" thickTop="1"/>
    <row r="88" spans="1:13" ht="17.399999999999999">
      <c r="A88" s="647" t="s">
        <v>365</v>
      </c>
      <c r="B88" s="652" t="s">
        <v>366</v>
      </c>
      <c r="C88" s="652"/>
      <c r="D88" s="652"/>
      <c r="E88" s="652"/>
    </row>
    <row r="89" spans="1:13" ht="14.4">
      <c r="A89" s="647"/>
      <c r="B89" s="60" t="s">
        <v>167</v>
      </c>
      <c r="C89" s="62" t="s">
        <v>354</v>
      </c>
      <c r="D89" s="60" t="s">
        <v>355</v>
      </c>
      <c r="E89" s="60" t="s">
        <v>356</v>
      </c>
      <c r="F89" s="80"/>
      <c r="G89" s="48"/>
      <c r="H89" s="81"/>
      <c r="K89" s="48"/>
    </row>
    <row r="90" spans="1:13" ht="14.4">
      <c r="A90" s="423" t="s">
        <v>324</v>
      </c>
      <c r="B90" s="546">
        <f>C3-F3-G3</f>
        <v>2749</v>
      </c>
      <c r="C90" s="498">
        <f>G3</f>
        <v>40</v>
      </c>
      <c r="D90" s="494">
        <f>H3</f>
        <v>94</v>
      </c>
      <c r="E90" s="494">
        <f>B90+C90-D90</f>
        <v>2695</v>
      </c>
      <c r="G90" s="48" t="s">
        <v>167</v>
      </c>
      <c r="H90" s="81" t="s">
        <v>315</v>
      </c>
      <c r="I90" s="48" t="s">
        <v>189</v>
      </c>
    </row>
    <row r="91" spans="1:13">
      <c r="A91" s="423" t="s">
        <v>326</v>
      </c>
      <c r="B91" s="546">
        <f>C7-F7-G7</f>
        <v>653</v>
      </c>
      <c r="C91" s="498">
        <f>G7</f>
        <v>0</v>
      </c>
      <c r="D91" s="494">
        <f>H7</f>
        <v>16</v>
      </c>
      <c r="E91" s="494">
        <f>B91+C91-D91</f>
        <v>637</v>
      </c>
      <c r="G91" s="48"/>
      <c r="H91" s="82"/>
    </row>
    <row r="92" spans="1:13">
      <c r="A92" s="423" t="s">
        <v>294</v>
      </c>
      <c r="B92" s="546">
        <f>C11-F11-G11</f>
        <v>141</v>
      </c>
      <c r="C92" s="498">
        <f>G11</f>
        <v>0</v>
      </c>
      <c r="D92" s="494">
        <f>H11</f>
        <v>6</v>
      </c>
      <c r="E92" s="494">
        <f t="shared" ref="E92:E104" si="5">B92+C92-D92</f>
        <v>135</v>
      </c>
      <c r="G92" s="48"/>
      <c r="H92" s="82"/>
      <c r="K92" s="65" t="s">
        <v>285</v>
      </c>
      <c r="L92" s="48">
        <f>L6</f>
        <v>2092</v>
      </c>
      <c r="M92" s="48">
        <f>B123-E123</f>
        <v>2177</v>
      </c>
    </row>
    <row r="93" spans="1:13">
      <c r="A93" s="47" t="s">
        <v>329</v>
      </c>
      <c r="B93" s="546">
        <f>C15-F15-G15</f>
        <v>144</v>
      </c>
      <c r="C93" s="498">
        <f>G15</f>
        <v>0</v>
      </c>
      <c r="D93" s="494">
        <f>H15</f>
        <v>4</v>
      </c>
      <c r="E93" s="494">
        <f t="shared" si="5"/>
        <v>140</v>
      </c>
      <c r="G93" s="48"/>
      <c r="H93" s="82"/>
      <c r="K93" s="65" t="s">
        <v>367</v>
      </c>
      <c r="L93" s="48">
        <f>L10</f>
        <v>532</v>
      </c>
      <c r="M93" s="48">
        <f t="shared" ref="M93:M106" si="6">B124-E124</f>
        <v>567</v>
      </c>
    </row>
    <row r="94" spans="1:13">
      <c r="A94" s="47" t="s">
        <v>331</v>
      </c>
      <c r="B94" s="546">
        <f>C19-F19-G19</f>
        <v>58</v>
      </c>
      <c r="C94" s="498">
        <f>G19</f>
        <v>0</v>
      </c>
      <c r="D94" s="494">
        <f>H19</f>
        <v>4</v>
      </c>
      <c r="E94" s="494">
        <f t="shared" si="5"/>
        <v>54</v>
      </c>
      <c r="G94" s="48"/>
      <c r="H94" s="82"/>
      <c r="K94" s="65" t="s">
        <v>294</v>
      </c>
      <c r="L94" s="48">
        <f>L14</f>
        <v>110</v>
      </c>
      <c r="M94" s="48">
        <f t="shared" si="6"/>
        <v>117</v>
      </c>
    </row>
    <row r="95" spans="1:13">
      <c r="A95" s="423" t="s">
        <v>333</v>
      </c>
      <c r="B95" s="546">
        <f>C23-F23-G23</f>
        <v>4</v>
      </c>
      <c r="C95" s="498">
        <f>G23</f>
        <v>0</v>
      </c>
      <c r="D95" s="494">
        <f>H23</f>
        <v>2</v>
      </c>
      <c r="E95" s="499">
        <f t="shared" si="5"/>
        <v>2</v>
      </c>
      <c r="G95" s="48"/>
      <c r="H95" s="82"/>
      <c r="K95" s="65" t="s">
        <v>329</v>
      </c>
      <c r="L95" s="48">
        <f>L18</f>
        <v>189</v>
      </c>
      <c r="M95" s="48">
        <f t="shared" si="6"/>
        <v>189</v>
      </c>
    </row>
    <row r="96" spans="1:13">
      <c r="A96" s="423" t="s">
        <v>335</v>
      </c>
      <c r="B96" s="546">
        <f>C27-F27-G27</f>
        <v>0</v>
      </c>
      <c r="C96" s="498">
        <f>G27</f>
        <v>0</v>
      </c>
      <c r="D96" s="494">
        <f>H27</f>
        <v>0</v>
      </c>
      <c r="E96" s="499">
        <f>B96+C96-D96</f>
        <v>0</v>
      </c>
      <c r="G96" s="48"/>
      <c r="H96" s="82"/>
      <c r="K96" s="65" t="s">
        <v>331</v>
      </c>
      <c r="L96" s="48">
        <f>L22</f>
        <v>56</v>
      </c>
      <c r="M96" s="48">
        <f t="shared" si="6"/>
        <v>56</v>
      </c>
    </row>
    <row r="97" spans="1:15">
      <c r="A97" s="423" t="s">
        <v>363</v>
      </c>
      <c r="B97" s="546">
        <f>C32-F32-G32</f>
        <v>0</v>
      </c>
      <c r="C97" s="498">
        <f>G32</f>
        <v>0</v>
      </c>
      <c r="D97" s="494">
        <f>H32</f>
        <v>0</v>
      </c>
      <c r="E97" s="494">
        <f>B97+C97-D97</f>
        <v>0</v>
      </c>
      <c r="G97" s="48"/>
      <c r="H97" s="82"/>
      <c r="K97" s="65" t="s">
        <v>333</v>
      </c>
      <c r="L97" s="48">
        <f>L26</f>
        <v>2</v>
      </c>
      <c r="M97" s="48">
        <f t="shared" si="6"/>
        <v>2</v>
      </c>
    </row>
    <row r="98" spans="1:15">
      <c r="A98" s="423" t="s">
        <v>339</v>
      </c>
      <c r="B98" s="546">
        <f>C36-F36-G36</f>
        <v>30</v>
      </c>
      <c r="C98" s="498">
        <f>G36</f>
        <v>0</v>
      </c>
      <c r="D98" s="494">
        <f>H36</f>
        <v>20</v>
      </c>
      <c r="E98" s="494">
        <f>B98+C98-D98</f>
        <v>10</v>
      </c>
      <c r="G98" s="48"/>
      <c r="H98" s="82"/>
      <c r="K98" s="89" t="s">
        <v>335</v>
      </c>
      <c r="L98" s="91">
        <f>L30</f>
        <v>0</v>
      </c>
      <c r="M98" s="48">
        <f t="shared" si="6"/>
        <v>0</v>
      </c>
    </row>
    <row r="99" spans="1:15">
      <c r="A99" s="47" t="s">
        <v>341</v>
      </c>
      <c r="B99" s="546">
        <f>C40-F40-G40</f>
        <v>77</v>
      </c>
      <c r="C99" s="498">
        <f>G40</f>
        <v>0</v>
      </c>
      <c r="D99" s="494">
        <f>H40</f>
        <v>0</v>
      </c>
      <c r="E99" s="494">
        <f t="shared" si="5"/>
        <v>77</v>
      </c>
      <c r="G99" s="48"/>
      <c r="H99" s="82"/>
      <c r="K99" s="65" t="s">
        <v>363</v>
      </c>
      <c r="L99" s="48">
        <f>L35</f>
        <v>0</v>
      </c>
      <c r="M99" s="48">
        <f t="shared" si="6"/>
        <v>0</v>
      </c>
    </row>
    <row r="100" spans="1:15">
      <c r="A100" s="423" t="s">
        <v>343</v>
      </c>
      <c r="B100" s="546">
        <f>C44-F44-G44</f>
        <v>58</v>
      </c>
      <c r="C100" s="498">
        <f>G44</f>
        <v>0</v>
      </c>
      <c r="D100" s="494">
        <f>H44</f>
        <v>0</v>
      </c>
      <c r="E100" s="494">
        <f>B100+C100-D100</f>
        <v>58</v>
      </c>
      <c r="G100" s="48"/>
      <c r="H100" s="82"/>
      <c r="K100" s="65" t="s">
        <v>364</v>
      </c>
      <c r="L100" s="48">
        <f>L39</f>
        <v>73</v>
      </c>
      <c r="M100" s="48">
        <f t="shared" si="6"/>
        <v>73</v>
      </c>
    </row>
    <row r="101" spans="1:15">
      <c r="A101" s="423" t="s">
        <v>345</v>
      </c>
      <c r="B101" s="546">
        <f>C48-F48-G48</f>
        <v>25</v>
      </c>
      <c r="C101" s="498">
        <f>G48</f>
        <v>0</v>
      </c>
      <c r="D101" s="494">
        <f>H48</f>
        <v>0</v>
      </c>
      <c r="E101" s="494">
        <f t="shared" si="5"/>
        <v>25</v>
      </c>
      <c r="G101" s="48"/>
      <c r="H101" s="82"/>
      <c r="K101" s="65" t="s">
        <v>368</v>
      </c>
      <c r="L101" s="48">
        <f>L43</f>
        <v>407</v>
      </c>
      <c r="M101" s="48">
        <f t="shared" si="6"/>
        <v>407</v>
      </c>
    </row>
    <row r="102" spans="1:15" ht="14.4">
      <c r="A102" s="423" t="s">
        <v>347</v>
      </c>
      <c r="B102" s="546">
        <f>C52-F52-G52</f>
        <v>4</v>
      </c>
      <c r="C102" s="498">
        <f>G52</f>
        <v>0</v>
      </c>
      <c r="D102" s="494">
        <f>H52</f>
        <v>0</v>
      </c>
      <c r="E102" s="494">
        <f t="shared" si="5"/>
        <v>4</v>
      </c>
      <c r="G102" s="48"/>
      <c r="I102"/>
      <c r="K102" s="65" t="s">
        <v>369</v>
      </c>
      <c r="L102" s="48">
        <f>L47</f>
        <v>118</v>
      </c>
      <c r="M102" s="48">
        <f t="shared" si="6"/>
        <v>118</v>
      </c>
    </row>
    <row r="103" spans="1:15" ht="14.4">
      <c r="A103" s="423" t="s">
        <v>349</v>
      </c>
      <c r="B103" s="546">
        <f>C56-F56-G56</f>
        <v>0</v>
      </c>
      <c r="C103" s="498">
        <f>G56</f>
        <v>0</v>
      </c>
      <c r="D103" s="494">
        <f>H56</f>
        <v>0</v>
      </c>
      <c r="E103" s="494">
        <f t="shared" si="5"/>
        <v>0</v>
      </c>
      <c r="G103" s="49"/>
      <c r="I103"/>
      <c r="K103" s="65" t="s">
        <v>345</v>
      </c>
      <c r="L103" s="48">
        <f>L51</f>
        <v>42</v>
      </c>
      <c r="M103" s="48">
        <f t="shared" si="6"/>
        <v>42</v>
      </c>
    </row>
    <row r="104" spans="1:15" ht="14.4">
      <c r="A104" s="423" t="s">
        <v>351</v>
      </c>
      <c r="B104" s="546">
        <f>C60-F60-G60</f>
        <v>0</v>
      </c>
      <c r="C104" s="498">
        <f>G60</f>
        <v>0</v>
      </c>
      <c r="D104" s="494">
        <f>H60</f>
        <v>0</v>
      </c>
      <c r="E104" s="494">
        <f t="shared" si="5"/>
        <v>0</v>
      </c>
      <c r="G104" s="279"/>
      <c r="I104"/>
      <c r="K104" s="65" t="s">
        <v>347</v>
      </c>
      <c r="L104" s="48">
        <f>L55</f>
        <v>11</v>
      </c>
      <c r="M104" s="48">
        <f t="shared" si="6"/>
        <v>11</v>
      </c>
    </row>
    <row r="105" spans="1:15" ht="15" thickBot="1">
      <c r="B105" s="63">
        <f>SUBTOTAL(9,B90:B104)</f>
        <v>3943</v>
      </c>
      <c r="C105" s="64">
        <f>SUBTOTAL(9,C90:C104)</f>
        <v>40</v>
      </c>
      <c r="D105" s="63">
        <f>SUBTOTAL(9,D90:D104)</f>
        <v>146</v>
      </c>
      <c r="E105" s="63">
        <f>SUBTOTAL(9,E90:E104)</f>
        <v>3837</v>
      </c>
      <c r="G105" s="337"/>
      <c r="I105"/>
      <c r="K105" s="65" t="s">
        <v>349</v>
      </c>
      <c r="L105" s="48">
        <f>L59</f>
        <v>1</v>
      </c>
      <c r="M105" s="48">
        <f t="shared" si="6"/>
        <v>1</v>
      </c>
    </row>
    <row r="106" spans="1:15" ht="15" thickTop="1">
      <c r="G106" s="337"/>
      <c r="I106"/>
      <c r="K106" s="89" t="s">
        <v>351</v>
      </c>
      <c r="L106" s="91">
        <f>L63</f>
        <v>0</v>
      </c>
      <c r="M106" s="48">
        <f t="shared" si="6"/>
        <v>0</v>
      </c>
    </row>
    <row r="107" spans="1:15" ht="14.4">
      <c r="B107" s="48">
        <f>B105+B86</f>
        <v>4583</v>
      </c>
      <c r="D107" s="48">
        <f>D86+D105+J86+G86</f>
        <v>990</v>
      </c>
      <c r="E107" s="48">
        <f>E86+E105</f>
        <v>3800</v>
      </c>
      <c r="G107" s="49"/>
      <c r="I107"/>
      <c r="K107" s="89"/>
      <c r="L107" s="48">
        <f>SUM(L92:L106)</f>
        <v>3633</v>
      </c>
      <c r="M107" s="48">
        <f>SUM(M92:M106)</f>
        <v>3760</v>
      </c>
    </row>
    <row r="108" spans="1:15" ht="14.4">
      <c r="G108" s="279"/>
      <c r="I108"/>
      <c r="K108" s="48"/>
      <c r="L108" s="1"/>
      <c r="M108" s="1"/>
      <c r="N108" s="1"/>
      <c r="O108" s="1"/>
    </row>
    <row r="109" spans="1:15" ht="14.4">
      <c r="G109" s="337"/>
      <c r="I109"/>
      <c r="K109" s="48"/>
      <c r="L109" s="1"/>
      <c r="M109" s="1"/>
      <c r="N109" s="1"/>
      <c r="O109" s="1"/>
    </row>
    <row r="110" spans="1:15" ht="14.4">
      <c r="G110" s="337"/>
      <c r="I110"/>
      <c r="K110" s="48"/>
      <c r="L110" s="1"/>
      <c r="M110" s="1"/>
      <c r="N110" s="1"/>
      <c r="O110" s="1"/>
    </row>
    <row r="111" spans="1:15" ht="14.4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 ht="14.4">
      <c r="D115" s="340" t="s">
        <v>1396</v>
      </c>
      <c r="E115" s="48">
        <f>SUMIFS(Stock_list!$J$1:$J$80,Stock_list!$B$1:$B$80,"有交期",Stock_list!$Y$1:$Y$80,"Yes")</f>
        <v>14</v>
      </c>
      <c r="F115" s="48">
        <f>SUMIFS(Stock_list!$J$1:$J$80,Stock_list!$B$1:$B$80,"有交期",Stock_list!$Y$1:$Y$80,"No")</f>
        <v>2</v>
      </c>
      <c r="H115" s="48">
        <f>'NEW Feeder Reserved'!K564+'NEW Feeder Reserved'!K571+'NEW Feeder Reserved'!K555</f>
        <v>4</v>
      </c>
      <c r="K115" s="48"/>
      <c r="L115" s="1"/>
      <c r="M115" s="1"/>
      <c r="N115" s="1"/>
      <c r="O115" s="1"/>
    </row>
    <row r="116" spans="1:20" ht="16.5" customHeight="1">
      <c r="D116" s="48" t="s">
        <v>1397</v>
      </c>
      <c r="E116" s="48">
        <f>SUMIFS(Stock_list!$J$1:$J$80,Stock_list!$B$1:$B$80,"TBA.",Stock_list!$Y$1:$Y$80,"Yes")</f>
        <v>6</v>
      </c>
      <c r="F116" s="48">
        <f>SUMIFS(Stock_list!$J$1:$J$80,Stock_list!$B$1:$B$80,"TBA.",Stock_list!$Y$1:$Y$80,"No")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40" t="s">
        <v>1398</v>
      </c>
      <c r="E117" s="48">
        <f>SUMIFS(Stock_list!$J$1:$J$80,Stock_list!$B$1:$B$80,"已经到货",Stock_list!$Y$1:$Y$80,"Yes")</f>
        <v>13</v>
      </c>
      <c r="F117" s="48">
        <f>SUMIFS(Stock_list!$J$1:$J$80,Stock_list!$B$1:$B$80,"已经到货",Stock_list!$Y$1:$Y$80,"No")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1399</v>
      </c>
      <c r="K118" s="48"/>
      <c r="L118" s="1"/>
      <c r="M118" s="1"/>
      <c r="N118" s="1"/>
      <c r="O118" s="1"/>
    </row>
    <row r="119" spans="1:20" ht="19.5" customHeight="1">
      <c r="A119" s="348"/>
      <c r="B119" s="347"/>
      <c r="C119" s="347"/>
      <c r="D119" s="357"/>
      <c r="E119" s="653" t="s">
        <v>1408</v>
      </c>
      <c r="F119" s="653"/>
      <c r="G119" s="654" t="s">
        <v>1409</v>
      </c>
      <c r="H119" s="654"/>
      <c r="I119" s="654"/>
      <c r="J119" s="347"/>
      <c r="K119" s="347"/>
      <c r="L119" s="348"/>
      <c r="M119" s="1"/>
      <c r="N119" s="1"/>
      <c r="O119" s="1"/>
    </row>
    <row r="120" spans="1:20" ht="19.5" customHeight="1">
      <c r="A120" s="348"/>
      <c r="B120" s="347"/>
      <c r="C120" s="347"/>
      <c r="D120" s="357"/>
      <c r="E120" s="359" t="s">
        <v>1404</v>
      </c>
      <c r="F120" s="359" t="s">
        <v>1405</v>
      </c>
      <c r="G120" s="360" t="s">
        <v>1406</v>
      </c>
      <c r="H120" s="360" t="s">
        <v>1407</v>
      </c>
      <c r="I120" s="360" t="s">
        <v>1397</v>
      </c>
      <c r="J120" s="361" t="s">
        <v>1410</v>
      </c>
      <c r="K120" s="347"/>
      <c r="L120" s="348"/>
      <c r="M120" s="1"/>
      <c r="N120" s="1"/>
      <c r="O120" s="1"/>
    </row>
    <row r="121" spans="1:20" ht="19.5" customHeight="1">
      <c r="A121" s="348"/>
      <c r="B121" s="347"/>
      <c r="C121" s="347"/>
      <c r="D121" s="358"/>
      <c r="E121" s="359">
        <f>E115+E116+E117</f>
        <v>33</v>
      </c>
      <c r="F121" s="359">
        <f>F115+F116+F117</f>
        <v>5</v>
      </c>
      <c r="G121" s="360">
        <f>G117</f>
        <v>3</v>
      </c>
      <c r="H121" s="360">
        <f>H115</f>
        <v>4</v>
      </c>
      <c r="I121" s="360">
        <f>I116</f>
        <v>21</v>
      </c>
      <c r="J121" s="361">
        <f>SUM(E121:I121)</f>
        <v>66</v>
      </c>
      <c r="K121" s="347"/>
      <c r="L121" s="348"/>
      <c r="M121" s="1"/>
      <c r="N121" s="1"/>
      <c r="O121" s="1"/>
    </row>
    <row r="122" spans="1:20" ht="33" customHeight="1">
      <c r="A122" s="350" t="s">
        <v>166</v>
      </c>
      <c r="B122" s="349" t="s">
        <v>372</v>
      </c>
      <c r="C122" s="351" t="s">
        <v>1390</v>
      </c>
      <c r="D122" s="351" t="s">
        <v>1391</v>
      </c>
      <c r="E122" s="351" t="s">
        <v>1400</v>
      </c>
      <c r="F122" s="351" t="s">
        <v>1401</v>
      </c>
      <c r="G122" s="351" t="s">
        <v>1402</v>
      </c>
      <c r="H122" s="351" t="s">
        <v>168</v>
      </c>
      <c r="I122" s="351" t="s">
        <v>1403</v>
      </c>
      <c r="J122" s="351" t="s">
        <v>1384</v>
      </c>
      <c r="K122" s="351" t="s">
        <v>1385</v>
      </c>
      <c r="L122" s="508" t="s">
        <v>373</v>
      </c>
      <c r="P122" s="48"/>
    </row>
    <row r="123" spans="1:20">
      <c r="A123" s="362" t="s">
        <v>324</v>
      </c>
      <c r="B123" s="500">
        <f>B71+B90</f>
        <v>2749</v>
      </c>
      <c r="C123" s="501">
        <f>SUMIFS('NEW Feeder Reserved'!$G$1:$G$573,'NEW Feeder Reserved'!$A$1:$A$573,"SS 8mm",'NEW Feeder Reserved'!$F$1:$F$573,"有交期")</f>
        <v>0</v>
      </c>
      <c r="D123" s="501">
        <f>SUMIFS('NEW Feeder Reserved'!$G$1:$G$573,'NEW Feeder Reserved'!$A$1:$A$573,"SS 8mm",'NEW Feeder Reserved'!$F$1:$F$573,"Incoming")</f>
        <v>0</v>
      </c>
      <c r="E123" s="502">
        <f>D71+D90</f>
        <v>572</v>
      </c>
      <c r="F123" s="502">
        <f>SUMIFS('NEW Feeder Reserved'!$Q$1:$Q$573,'NEW Feeder Reserved'!$A$1:$A$573,"SS 8mm",'NEW Feeder Reserved'!$F$1:$F$573,"Incoming")</f>
        <v>50</v>
      </c>
      <c r="G123" s="503">
        <f>SUMIFS('NEW Feeder Reserved'!$N$1:$N$573,'NEW Feeder Reserved'!$A$1:$A$573,"SS 8mm",'NEW Feeder Reserved'!$F$1:$F$573,"已经到货",'NEW Feeder Reserved'!$I$1:$I$573,"没有预留机器")</f>
        <v>150</v>
      </c>
      <c r="H123" s="503">
        <f>SUMIFS('NEW Feeder Reserved'!$N$1:$N$573,'NEW Feeder Reserved'!$A$1:$A$573,"SS 8mm",'NEW Feeder Reserved'!$F$1:$F$573,"有交期",'NEW Feeder Reserved'!$I$1:$I$573,"没有预留机器")</f>
        <v>125</v>
      </c>
      <c r="I123" s="503">
        <f>SUMIFS('NEW Feeder Reserved'!$N$1:$N$573,'NEW Feeder Reserved'!$A$1:$A$573,"SS 8mm",'NEW Feeder Reserved'!$F$1:$F$573,"TBA",'NEW Feeder Reserved'!$I$1:$I$573,"没有预留机器")</f>
        <v>775</v>
      </c>
      <c r="J123" s="504">
        <v>500</v>
      </c>
      <c r="K123" s="504">
        <f>300</f>
        <v>300</v>
      </c>
      <c r="L123" s="509">
        <f>B123+C123+D123-E123-G123-H123-I123-K123-(J123-F123)</f>
        <v>377</v>
      </c>
      <c r="P123" s="48"/>
    </row>
    <row r="124" spans="1:20">
      <c r="A124" s="362" t="s">
        <v>326</v>
      </c>
      <c r="B124" s="500">
        <f t="shared" ref="B124:B135" si="7">B72+B91</f>
        <v>653</v>
      </c>
      <c r="C124" s="501">
        <f>SUMIFS('NEW Feeder Reserved'!$G$1:$G$573,'NEW Feeder Reserved'!$A$1:$A$573,"SS 12/16mm",'NEW Feeder Reserved'!$F$1:$F$573,"有交期")</f>
        <v>0</v>
      </c>
      <c r="D124" s="501">
        <f>SUMIFS('NEW Feeder Reserved'!$G$1:$G$573,'NEW Feeder Reserved'!$A$1:$A$573,"SS 12/16mm",'NEW Feeder Reserved'!$F$1:$F$573,"Incoming")</f>
        <v>0</v>
      </c>
      <c r="E124" s="502">
        <f t="shared" ref="E124:E137" si="8">D72+D91</f>
        <v>86</v>
      </c>
      <c r="F124" s="502">
        <f>SUMIFS('NEW Feeder Reserved'!$Q$1:$Q$573,'NEW Feeder Reserved'!$A$1:$A$573,"SS 12/16mm",'NEW Feeder Reserved'!$F$1:$F$573,"Incoming")</f>
        <v>20</v>
      </c>
      <c r="G124" s="505">
        <f>SUMIFS('NEW Feeder Reserved'!$N$1:$N$573,'NEW Feeder Reserved'!$A$1:$A$573,"SS 12/16mm",'NEW Feeder Reserved'!$F$1:$F$573,"已经到货",'NEW Feeder Reserved'!$I$1:$I$573,"没有预留机器")</f>
        <v>15</v>
      </c>
      <c r="H124" s="505">
        <f>SUMIFS('NEW Feeder Reserved'!$N$1:$N$573,'NEW Feeder Reserved'!$A$1:$A$573,"SS 12/16mm",'NEW Feeder Reserved'!$F$1:$F$573,"有交期",'NEW Feeder Reserved'!$I$1:$I$573,"没有预留机器")</f>
        <v>35</v>
      </c>
      <c r="I124" s="505">
        <f>SUMIFS('NEW Feeder Reserved'!$N$1:$N$573,'NEW Feeder Reserved'!$A$1:$A$573,"SS 12/16mm",'NEW Feeder Reserved'!$F$1:$F$573,"TBA",'NEW Feeder Reserved'!$I$1:$I$573,"没有预留机器")</f>
        <v>160</v>
      </c>
      <c r="J124" s="504">
        <v>0</v>
      </c>
      <c r="K124" s="504">
        <v>0</v>
      </c>
      <c r="L124" s="509">
        <f t="shared" ref="L124:L137" si="9">B124+C124+D124-E124-G124-H124-I124-K124-(J124-F124)</f>
        <v>377</v>
      </c>
      <c r="P124" s="48"/>
    </row>
    <row r="125" spans="1:20">
      <c r="A125" s="362" t="s">
        <v>294</v>
      </c>
      <c r="B125" s="500">
        <f t="shared" si="7"/>
        <v>141</v>
      </c>
      <c r="C125" s="501">
        <f>SUMIFS('NEW Feeder Reserved'!$G$1:$G$573,'NEW Feeder Reserved'!$A$1:$A$573,"SS 24mm",'NEW Feeder Reserved'!$F$1:$F$573,"有交期")</f>
        <v>0</v>
      </c>
      <c r="D125" s="501">
        <f>SUMIFS('NEW Feeder Reserved'!$G$1:$G$573,'NEW Feeder Reserved'!$A$1:$A$573,"SS 24mm",'NEW Feeder Reserved'!$F$1:$F$573,"Incoming")</f>
        <v>0</v>
      </c>
      <c r="E125" s="502">
        <f t="shared" si="8"/>
        <v>24</v>
      </c>
      <c r="F125" s="502">
        <f>SUMIFS('NEW Feeder Reserved'!$Q$1:$Q$573,'NEW Feeder Reserved'!$A$1:$A$573,"SS 24mm",'NEW Feeder Reserved'!$F$1:$F$573,"Incoming")</f>
        <v>5</v>
      </c>
      <c r="G125" s="505">
        <f>SUMIFS('NEW Feeder Reserved'!$N$1:$N$573,'NEW Feeder Reserved'!$A$1:$A$573,"SS 24mm",'NEW Feeder Reserved'!$F$1:$F$573,"已经到货",'NEW Feeder Reserved'!$I$1:$I$573,"没有预留机器")</f>
        <v>3</v>
      </c>
      <c r="H125" s="505">
        <f>SUMIFS('NEW Feeder Reserved'!$N$1:$N$573,'NEW Feeder Reserved'!$A$1:$A$573,"SS 24mm",'NEW Feeder Reserved'!$F$1:$F$573,"有交期",'NEW Feeder Reserved'!$I$1:$I$573,"没有预留机器")</f>
        <v>7</v>
      </c>
      <c r="I125" s="505">
        <f>SUMIFS('NEW Feeder Reserved'!$N$1:$N$573,'NEW Feeder Reserved'!$A$1:$A$573,"SS 24mm",'NEW Feeder Reserved'!$F$1:$F$573,"TBA",'NEW Feeder Reserved'!$I$1:$I$573,"没有预留机器")</f>
        <v>32</v>
      </c>
      <c r="J125" s="504">
        <v>0</v>
      </c>
      <c r="K125" s="504">
        <v>0</v>
      </c>
      <c r="L125" s="509">
        <f t="shared" si="9"/>
        <v>80</v>
      </c>
      <c r="P125" s="48"/>
    </row>
    <row r="126" spans="1:20">
      <c r="A126" s="362" t="s">
        <v>329</v>
      </c>
      <c r="B126" s="500">
        <f t="shared" si="7"/>
        <v>200</v>
      </c>
      <c r="C126" s="501">
        <f>SUMIFS('NEW Feeder Reserved'!$G$1:$G$573,'NEW Feeder Reserved'!$A$1:$A$573,"SS 32mm",'NEW Feeder Reserved'!$F$1:$F$573,"有交期")</f>
        <v>0</v>
      </c>
      <c r="D126" s="501">
        <f>SUMIFS('NEW Feeder Reserved'!$G$1:$G$573,'NEW Feeder Reserved'!$A$1:$A$573,"SS 32mm",'NEW Feeder Reserved'!$F$1:$F$573,"Incoming")</f>
        <v>0</v>
      </c>
      <c r="E126" s="502">
        <f t="shared" si="8"/>
        <v>11</v>
      </c>
      <c r="F126" s="502">
        <f>SUMIFS('NEW Feeder Reserved'!$Q$1:$Q$573,'NEW Feeder Reserved'!$A$1:$A$573,"SS 32mm",'NEW Feeder Reserved'!$F$1:$F$573,"Incoming")</f>
        <v>0</v>
      </c>
      <c r="G126" s="505">
        <f>SUMIFS('NEW Feeder Reserved'!$N$1:$N$573,'NEW Feeder Reserved'!$A$1:$A$573,"SS 32mm",'NEW Feeder Reserved'!$F$1:$F$573,"已经到货",'NEW Feeder Reserved'!$I$1:$I$573,"没有预留机器")</f>
        <v>0</v>
      </c>
      <c r="H126" s="505">
        <f>SUMIFS('NEW Feeder Reserved'!$N$1:$N$573,'NEW Feeder Reserved'!$A$1:$A$573,"SS 32mm",'NEW Feeder Reserved'!$F$1:$F$573,"有交期",'NEW Feeder Reserved'!$I$1:$I$573,"没有预留机器")</f>
        <v>0</v>
      </c>
      <c r="I126" s="505">
        <f>SUMIFS('NEW Feeder Reserved'!$N$1:$N$573,'NEW Feeder Reserved'!$A$1:$A$573,"SS 32mm",'NEW Feeder Reserved'!$F$1:$F$573,"TBA",'NEW Feeder Reserved'!$I$1:$I$573,"没有预留机器")</f>
        <v>0</v>
      </c>
      <c r="J126" s="504">
        <v>0</v>
      </c>
      <c r="K126" s="504">
        <v>0</v>
      </c>
      <c r="L126" s="509">
        <f t="shared" si="9"/>
        <v>189</v>
      </c>
      <c r="M126" s="66"/>
      <c r="P126" s="65"/>
      <c r="Q126" s="48"/>
      <c r="R126" s="48"/>
      <c r="S126" s="48"/>
      <c r="T126" s="48"/>
    </row>
    <row r="127" spans="1:20">
      <c r="A127" s="362" t="s">
        <v>331</v>
      </c>
      <c r="B127" s="500">
        <f t="shared" si="7"/>
        <v>62</v>
      </c>
      <c r="C127" s="501">
        <f>SUMIFS('NEW Feeder Reserved'!$G$1:$G$573,'NEW Feeder Reserved'!$A$1:$A$573,"SS 44mm",'NEW Feeder Reserved'!$F$1:$F$573,"有交期")</f>
        <v>0</v>
      </c>
      <c r="D127" s="501">
        <f>SUMIFS('NEW Feeder Reserved'!$G$1:$G$573,'NEW Feeder Reserved'!$A$1:$A$573,"SS 44mm",'NEW Feeder Reserved'!$F$1:$F$573,"Incoming")</f>
        <v>0</v>
      </c>
      <c r="E127" s="502">
        <f>D75+D94</f>
        <v>6</v>
      </c>
      <c r="F127" s="502">
        <f>SUMIFS('NEW Feeder Reserved'!$Q$1:$Q$573,'NEW Feeder Reserved'!$A$1:$A$573,"SS 44mm",'NEW Feeder Reserved'!$F$1:$F$573,"Incoming")</f>
        <v>0</v>
      </c>
      <c r="G127" s="505">
        <f>SUMIFS('NEW Feeder Reserved'!$N$1:$N$573,'NEW Feeder Reserved'!$A$1:$A$573,"SS 44mm",'NEW Feeder Reserved'!$F$1:$F$573,"已经到货",'NEW Feeder Reserved'!$I$1:$I$573,"没有预留机器")</f>
        <v>0</v>
      </c>
      <c r="H127" s="505">
        <f>SUMIFS('NEW Feeder Reserved'!$N$1:$N$573,'NEW Feeder Reserved'!$A$1:$A$573,"SS 44mm",'NEW Feeder Reserved'!$F$1:$F$573,"有交期",'NEW Feeder Reserved'!$I$1:$I$573,"没有预留机器")</f>
        <v>0</v>
      </c>
      <c r="I127" s="505">
        <f>SUMIFS('NEW Feeder Reserved'!$N$1:$N$573,'NEW Feeder Reserved'!$A$1:$A$573,"SS 44mm",'NEW Feeder Reserved'!$F$1:$F$573,"TBA",'NEW Feeder Reserved'!$I$1:$I$573,"没有预留机器")</f>
        <v>0</v>
      </c>
      <c r="J127" s="504">
        <v>0</v>
      </c>
      <c r="K127" s="504">
        <v>0</v>
      </c>
      <c r="L127" s="509">
        <f t="shared" si="9"/>
        <v>56</v>
      </c>
      <c r="M127" s="66"/>
      <c r="P127" s="65"/>
      <c r="Q127" s="48"/>
      <c r="R127" s="48"/>
      <c r="S127" s="48"/>
      <c r="T127" s="48"/>
    </row>
    <row r="128" spans="1:20">
      <c r="A128" s="362" t="s">
        <v>333</v>
      </c>
      <c r="B128" s="500">
        <f t="shared" si="7"/>
        <v>4</v>
      </c>
      <c r="C128" s="501">
        <f>SUMIFS('NEW Feeder Reserved'!$G$1:$G$573,'NEW Feeder Reserved'!$A$1:$A$573,"SS 56mm",'NEW Feeder Reserved'!$F$1:$F$573,"有交期")</f>
        <v>0</v>
      </c>
      <c r="D128" s="501">
        <f>SUMIFS('NEW Feeder Reserved'!$G$1:$G$573,'NEW Feeder Reserved'!$A$1:$A$573,"SS 56mm",'NEW Feeder Reserved'!$F$1:$F$573,"Incoming")</f>
        <v>0</v>
      </c>
      <c r="E128" s="502">
        <f t="shared" si="8"/>
        <v>2</v>
      </c>
      <c r="F128" s="502">
        <f>SUMIFS('NEW Feeder Reserved'!$Q$1:$Q$573,'NEW Feeder Reserved'!$A$1:$A$573,"SS 56mm",'NEW Feeder Reserved'!$F$1:$F$573,"Incoming")</f>
        <v>0</v>
      </c>
      <c r="G128" s="505">
        <f>SUMIFS('NEW Feeder Reserved'!$N$1:$N$573,'NEW Feeder Reserved'!$A$1:$A$573,"SS 56mm",'NEW Feeder Reserved'!$F$1:$F$573,"已经到货",'NEW Feeder Reserved'!$I$1:$I$573,"没有预留机器")</f>
        <v>0</v>
      </c>
      <c r="H128" s="505">
        <f>SUMIFS('NEW Feeder Reserved'!$N$1:$N$573,'NEW Feeder Reserved'!$A$1:$A$573,"SS 56mm",'NEW Feeder Reserved'!$F$1:$F$573,"有交期",'NEW Feeder Reserved'!$I$1:$I$573,"没有预留机器")</f>
        <v>0</v>
      </c>
      <c r="I128" s="505">
        <f>SUMIFS('NEW Feeder Reserved'!$N$1:$N$573,'NEW Feeder Reserved'!$A$1:$A$573,"SS 56mm",'NEW Feeder Reserved'!$F$1:$F$573,"TBA",'NEW Feeder Reserved'!$I$1:$I$573,"没有预留机器")</f>
        <v>0</v>
      </c>
      <c r="J128" s="504">
        <v>0</v>
      </c>
      <c r="K128" s="504">
        <v>0</v>
      </c>
      <c r="L128" s="509">
        <f t="shared" si="9"/>
        <v>2</v>
      </c>
      <c r="M128" s="66"/>
      <c r="P128" s="65"/>
      <c r="Q128" s="48"/>
      <c r="R128" s="48"/>
      <c r="S128" s="48"/>
      <c r="T128" s="48"/>
    </row>
    <row r="129" spans="1:20" ht="14.4">
      <c r="A129" s="362" t="s">
        <v>335</v>
      </c>
      <c r="B129" s="500">
        <f t="shared" si="7"/>
        <v>0</v>
      </c>
      <c r="C129" s="501">
        <f>SUMIFS('NEW Feeder Reserved'!$G$1:$G$573,'NEW Feeder Reserved'!$A$1:$A$573,"SS 72mm",'NEW Feeder Reserved'!$F$1:$F$573,"有交期")</f>
        <v>0</v>
      </c>
      <c r="D129" s="501">
        <f>SUMIFS('NEW Feeder Reserved'!$G$1:$G$573,'NEW Feeder Reserved'!$A$1:$A$573,"SS 72mm",'NEW Feeder Reserved'!$F$1:$F$573,"Incoming")</f>
        <v>0</v>
      </c>
      <c r="E129" s="502">
        <f t="shared" si="8"/>
        <v>0</v>
      </c>
      <c r="F129" s="502">
        <f>SUMIFS('NEW Feeder Reserved'!$Q$1:$Q$573,'NEW Feeder Reserved'!$A$1:$A$573,"SS 72mm",'NEW Feeder Reserved'!$F$1:$F$573,"Incoming")</f>
        <v>0</v>
      </c>
      <c r="G129" s="505">
        <f>SUMIFS('NEW Feeder Reserved'!$N$1:$N$573,'NEW Feeder Reserved'!$A$1:$A$573,"SS 72mm",'NEW Feeder Reserved'!$F$1:$F$573,"已经到货",'NEW Feeder Reserved'!$I$1:$I$573,"没有预留机器")</f>
        <v>0</v>
      </c>
      <c r="H129" s="505">
        <f>SUMIFS('NEW Feeder Reserved'!$N$1:$N$573,'NEW Feeder Reserved'!$A$1:$A$573,"SS 72mm",'NEW Feeder Reserved'!$F$1:$F$573,"有交期",'NEW Feeder Reserved'!$I$1:$I$573,"没有预留机器")</f>
        <v>0</v>
      </c>
      <c r="I129" s="505">
        <f>SUMIFS('NEW Feeder Reserved'!$N$1:$N$573,'NEW Feeder Reserved'!$A$1:$A$573,"SS 72mm",'NEW Feeder Reserved'!$F$1:$F$573,"TBA",'NEW Feeder Reserved'!$I$1:$I$573,"没有预留机器")</f>
        <v>0</v>
      </c>
      <c r="J129" s="504">
        <v>0</v>
      </c>
      <c r="K129" s="504">
        <v>0</v>
      </c>
      <c r="L129" s="509">
        <f t="shared" si="9"/>
        <v>0</v>
      </c>
      <c r="M129" s="66"/>
      <c r="N129" s="80"/>
      <c r="P129" s="87"/>
      <c r="Q129" s="648"/>
      <c r="R129" s="648"/>
      <c r="S129" s="48"/>
      <c r="T129" s="48"/>
    </row>
    <row r="130" spans="1:20" ht="14.4">
      <c r="A130" s="362" t="s">
        <v>363</v>
      </c>
      <c r="B130" s="500">
        <f t="shared" si="7"/>
        <v>2</v>
      </c>
      <c r="C130" s="501">
        <f>SUMIFS('NEW Feeder Reserved'!$G$1:$G$573,'NEW Feeder Reserved'!$A$1:$A$573,"ZS 4mm",'NEW Feeder Reserved'!$F$1:$F$573,"有交期")</f>
        <v>0</v>
      </c>
      <c r="D130" s="501">
        <f>SUMIFS('NEW Feeder Reserved'!$G$1:$G$573,'NEW Feeder Reserved'!$A$1:$A$573,"ZS 4mm",'NEW Feeder Reserved'!$F$1:$F$573,"Incoming")</f>
        <v>0</v>
      </c>
      <c r="E130" s="502">
        <f t="shared" si="8"/>
        <v>2</v>
      </c>
      <c r="F130" s="502">
        <f>SUMIFS('NEW Feeder Reserved'!$Q$1:$Q$573,'NEW Feeder Reserved'!$A$1:$A$573,"ZS 4mm",'NEW Feeder Reserved'!$F$1:$F$573,"Incoming")</f>
        <v>0</v>
      </c>
      <c r="G130" s="505">
        <f>SUMIFS('NEW Feeder Reserved'!$N$1:$N$573,'NEW Feeder Reserved'!$A$1:$A$573,"ZS 4mm",'NEW Feeder Reserved'!$F$1:$F$573,"已经到货",'NEW Feeder Reserved'!$I$1:$I$573,"没有预留机器")</f>
        <v>0</v>
      </c>
      <c r="H130" s="505">
        <f>SUMIFS('NEW Feeder Reserved'!$N$1:$N$573,'NEW Feeder Reserved'!$A$1:$A$573,"ZS 4mm",'NEW Feeder Reserved'!$F$1:$F$573,"有交期",'NEW Feeder Reserved'!$I$1:$I$573,"没有预留机器")</f>
        <v>0</v>
      </c>
      <c r="I130" s="505">
        <f>SUMIFS('NEW Feeder Reserved'!$N$1:$N$573,'NEW Feeder Reserved'!$A$1:$A$573,"ZS 4mm",'NEW Feeder Reserved'!$F$1:$F$573,"TBA",'NEW Feeder Reserved'!$I$1:$I$573,"没有预留机器")</f>
        <v>0</v>
      </c>
      <c r="J130" s="504">
        <v>0</v>
      </c>
      <c r="K130" s="504">
        <v>0</v>
      </c>
      <c r="L130" s="509">
        <f t="shared" si="9"/>
        <v>0</v>
      </c>
      <c r="M130" s="66"/>
      <c r="N130" s="80"/>
      <c r="P130" s="87"/>
      <c r="Q130" s="338"/>
      <c r="R130" s="338"/>
      <c r="S130" s="48"/>
      <c r="T130" s="48"/>
    </row>
    <row r="131" spans="1:20">
      <c r="A131" s="362" t="s">
        <v>364</v>
      </c>
      <c r="B131" s="500">
        <f t="shared" si="7"/>
        <v>193</v>
      </c>
      <c r="C131" s="501">
        <f>SUMIFS('NEW Feeder Reserved'!$G$1:$G$573,'NEW Feeder Reserved'!$A$1:$A$573,"ZS 8mm",'NEW Feeder Reserved'!$F$1:$F$573,"有交期")</f>
        <v>0</v>
      </c>
      <c r="D131" s="501">
        <f>SUMIFS('NEW Feeder Reserved'!$G$1:$G$573,'NEW Feeder Reserved'!$A$1:$A$573,"ZS 8mm",'NEW Feeder Reserved'!$F$1:$F$573,"Incoming")</f>
        <v>0</v>
      </c>
      <c r="E131" s="502">
        <f t="shared" si="8"/>
        <v>120</v>
      </c>
      <c r="F131" s="502">
        <f>SUMIFS('NEW Feeder Reserved'!$Q$1:$Q$573,'NEW Feeder Reserved'!$A$1:$A$573,"ZS 8mm",'NEW Feeder Reserved'!$F$1:$F$573,"Incoming")</f>
        <v>100</v>
      </c>
      <c r="G131" s="505">
        <f>SUMIFS('NEW Feeder Reserved'!$N$1:$N$573,'NEW Feeder Reserved'!$A$1:$A$573,"ZS 8mm",'NEW Feeder Reserved'!$F$1:$F$573,"已经到货",'NEW Feeder Reserved'!$I$1:$I$573,"没有预留机器")</f>
        <v>0</v>
      </c>
      <c r="H131" s="505">
        <f>SUMIFS('NEW Feeder Reserved'!$N$1:$N$573,'NEW Feeder Reserved'!$A$1:$A$573,"ZS 8mm",'NEW Feeder Reserved'!$F$1:$F$573,"有交期",'NEW Feeder Reserved'!$I$1:$I$573,"没有预留机器")</f>
        <v>0</v>
      </c>
      <c r="I131" s="505">
        <f>SUMIFS('NEW Feeder Reserved'!$N$1:$N$573,'NEW Feeder Reserved'!$A$1:$A$573,"ZS 8mm",'NEW Feeder Reserved'!$F$1:$F$573,"TBA",'NEW Feeder Reserved'!$I$1:$I$573,"没有预留机器")</f>
        <v>0</v>
      </c>
      <c r="J131" s="504">
        <v>0</v>
      </c>
      <c r="K131" s="504">
        <v>0</v>
      </c>
      <c r="L131" s="509">
        <f t="shared" si="9"/>
        <v>173</v>
      </c>
      <c r="M131" s="66"/>
      <c r="P131" s="65"/>
      <c r="Q131" s="48"/>
      <c r="R131" s="339"/>
      <c r="S131" s="339"/>
      <c r="T131" s="48"/>
    </row>
    <row r="132" spans="1:20">
      <c r="A132" s="362" t="s">
        <v>341</v>
      </c>
      <c r="B132" s="500">
        <f t="shared" si="7"/>
        <v>407</v>
      </c>
      <c r="C132" s="501">
        <f>SUMIFS('NEW Feeder Reserved'!$G$1:$G$573,'NEW Feeder Reserved'!$A$1:$A$573,"ZS 12/16mm",'NEW Feeder Reserved'!$F$1:$F$573,"有交期")</f>
        <v>0</v>
      </c>
      <c r="D132" s="501">
        <f>SUMIFS('NEW Feeder Reserved'!$G$1:$G$573,'NEW Feeder Reserved'!$A$1:$A$573,"ZS 12/16mm",'NEW Feeder Reserved'!$F$1:$F$573,"Incoming")</f>
        <v>0</v>
      </c>
      <c r="E132" s="502">
        <f t="shared" si="8"/>
        <v>0</v>
      </c>
      <c r="F132" s="502">
        <f>SUMIFS('NEW Feeder Reserved'!$Q$1:$Q$573,'NEW Feeder Reserved'!$A$1:$A$573,"ZS 12/16mm",'NEW Feeder Reserved'!$F$1:$F$573,"Incoming")</f>
        <v>0</v>
      </c>
      <c r="G132" s="505">
        <f>SUMIFS('NEW Feeder Reserved'!$N$1:$N$573,'NEW Feeder Reserved'!$A$1:$A$573,"ZS 12/16mm",'NEW Feeder Reserved'!$F$1:$F$573,"已经到货",'NEW Feeder Reserved'!$I$1:$I$573,"没有预留机器")</f>
        <v>0</v>
      </c>
      <c r="H132" s="505">
        <f>SUMIFS('NEW Feeder Reserved'!$N$1:$N$573,'NEW Feeder Reserved'!$A$1:$A$573,"ZS 12/16mm",'NEW Feeder Reserved'!$F$1:$F$573,"有交期",'NEW Feeder Reserved'!$I$1:$I$573,"没有预留机器")</f>
        <v>0</v>
      </c>
      <c r="I132" s="505">
        <f>SUMIFS('NEW Feeder Reserved'!$N$1:$N$573,'NEW Feeder Reserved'!$A$1:$A$573,"ZS 12/16mm",'NEW Feeder Reserved'!$F$1:$F$573,"TBA",'NEW Feeder Reserved'!$I$1:$I$573,"没有预留机器")</f>
        <v>0</v>
      </c>
      <c r="J132" s="504">
        <v>30</v>
      </c>
      <c r="K132" s="504">
        <v>10</v>
      </c>
      <c r="L132" s="509">
        <f t="shared" si="9"/>
        <v>367</v>
      </c>
      <c r="M132" s="66"/>
      <c r="P132" s="65"/>
      <c r="Q132" s="48"/>
      <c r="R132" s="339"/>
      <c r="S132" s="339"/>
      <c r="T132" s="48"/>
    </row>
    <row r="133" spans="1:20">
      <c r="A133" s="362" t="s">
        <v>343</v>
      </c>
      <c r="B133" s="500">
        <f t="shared" si="7"/>
        <v>118</v>
      </c>
      <c r="C133" s="501">
        <f>SUMIFS('NEW Feeder Reserved'!$G$1:$G$573,'NEW Feeder Reserved'!$A$1:$A$573,"ZS 24mm",'NEW Feeder Reserved'!$F$1:$F$573,"有交期")</f>
        <v>0</v>
      </c>
      <c r="D133" s="501">
        <f>SUMIFS('NEW Feeder Reserved'!$G$1:$G$573,'NEW Feeder Reserved'!$A$1:$A$573,"ZS 24mm",'NEW Feeder Reserved'!$F$1:$F$573,"Incoming")</f>
        <v>0</v>
      </c>
      <c r="E133" s="502">
        <f t="shared" si="8"/>
        <v>0</v>
      </c>
      <c r="F133" s="502">
        <f>SUMIFS('NEW Feeder Reserved'!$Q$1:$Q$573,'NEW Feeder Reserved'!$A$1:$A$573,"ZS 24mm",'NEW Feeder Reserved'!$F$1:$F$573,"Incoming")</f>
        <v>0</v>
      </c>
      <c r="G133" s="505">
        <f>SUMIFS('NEW Feeder Reserved'!$N$1:$N$573,'NEW Feeder Reserved'!$A$1:$A$573,"ZS 24mm",'NEW Feeder Reserved'!$F$1:$F$573,"已经到货",'NEW Feeder Reserved'!$I$1:$I$573,"没有预留机器")</f>
        <v>0</v>
      </c>
      <c r="H133" s="505">
        <f>SUMIFS('NEW Feeder Reserved'!$N$1:$N$573,'NEW Feeder Reserved'!$A$1:$A$573,"ZS 24mm",'NEW Feeder Reserved'!$F$1:$F$573,"有交期",'NEW Feeder Reserved'!$I$1:$I$573,"没有预留机器")</f>
        <v>0</v>
      </c>
      <c r="I133" s="505">
        <f>SUMIFS('NEW Feeder Reserved'!$N$1:$N$573,'NEW Feeder Reserved'!$A$1:$A$573,"ZS 24mm",'NEW Feeder Reserved'!$F$1:$F$573,"TBA",'NEW Feeder Reserved'!$I$1:$I$573,"没有预留机器")</f>
        <v>0</v>
      </c>
      <c r="J133" s="504">
        <v>10</v>
      </c>
      <c r="K133" s="504">
        <v>0</v>
      </c>
      <c r="L133" s="509">
        <f t="shared" si="9"/>
        <v>108</v>
      </c>
      <c r="M133" s="66"/>
      <c r="P133" s="65"/>
      <c r="Q133" s="48"/>
      <c r="R133" s="339"/>
      <c r="S133" s="339"/>
      <c r="T133" s="48"/>
    </row>
    <row r="134" spans="1:20">
      <c r="A134" s="362" t="s">
        <v>345</v>
      </c>
      <c r="B134" s="500">
        <f t="shared" si="7"/>
        <v>42</v>
      </c>
      <c r="C134" s="501">
        <f>SUMIFS('NEW Feeder Reserved'!$G$1:$G$573,'NEW Feeder Reserved'!$A$1:$A$573,"ZS 32mm",'NEW Feeder Reserved'!$F$1:$F$573,"有交期")</f>
        <v>0</v>
      </c>
      <c r="D134" s="501">
        <f>SUMIFS('NEW Feeder Reserved'!$G$1:$G$573,'NEW Feeder Reserved'!$A$1:$A$573,"ZS 32mm",'NEW Feeder Reserved'!$F$1:$F$573,"Incoming")</f>
        <v>0</v>
      </c>
      <c r="E134" s="502">
        <f t="shared" si="8"/>
        <v>0</v>
      </c>
      <c r="F134" s="502">
        <f>SUMIFS('NEW Feeder Reserved'!$Q$1:$Q$573,'NEW Feeder Reserved'!$A$1:$A$573,"ZS 32mm",'NEW Feeder Reserved'!$F$1:$F$573,"Incoming")</f>
        <v>0</v>
      </c>
      <c r="G134" s="505">
        <f>SUMIFS('NEW Feeder Reserved'!$N$1:$N$573,'NEW Feeder Reserved'!$A$1:$A$573,"ZS 32mm",'NEW Feeder Reserved'!$F$1:$F$573,"已经到货",'NEW Feeder Reserved'!$I$1:$I$573,"没有预留机器")</f>
        <v>0</v>
      </c>
      <c r="H134" s="505">
        <f>SUMIFS('NEW Feeder Reserved'!$N$1:$N$573,'NEW Feeder Reserved'!$A$1:$A$573,"ZS 32mm",'NEW Feeder Reserved'!$F$1:$F$573,"有交期",'NEW Feeder Reserved'!$I$1:$I$573,"没有预留机器")</f>
        <v>0</v>
      </c>
      <c r="I134" s="505">
        <f>SUMIFS('NEW Feeder Reserved'!$N$1:$N$573,'NEW Feeder Reserved'!$A$1:$A$573,"ZS 32mm",'NEW Feeder Reserved'!$F$1:$F$573,"TBA",'NEW Feeder Reserved'!$I$1:$I$573,"没有预留机器")</f>
        <v>0</v>
      </c>
      <c r="J134" s="504">
        <v>5</v>
      </c>
      <c r="K134" s="504">
        <v>0</v>
      </c>
      <c r="L134" s="509">
        <f t="shared" si="9"/>
        <v>37</v>
      </c>
      <c r="M134" s="66"/>
      <c r="P134" s="65"/>
      <c r="Q134" s="48"/>
      <c r="R134" s="339"/>
      <c r="S134" s="339"/>
      <c r="T134" s="48"/>
    </row>
    <row r="135" spans="1:20">
      <c r="A135" s="362" t="s">
        <v>347</v>
      </c>
      <c r="B135" s="500">
        <f t="shared" si="7"/>
        <v>11</v>
      </c>
      <c r="C135" s="501">
        <f>SUMIFS('NEW Feeder Reserved'!$G$1:$G$573,'NEW Feeder Reserved'!$A$1:$A$573,"ZS 44mm",'NEW Feeder Reserved'!$F$1:$F$573,"有交期")</f>
        <v>0</v>
      </c>
      <c r="D135" s="501">
        <f>SUMIFS('NEW Feeder Reserved'!$G$1:$G$573,'NEW Feeder Reserved'!$A$1:$A$573,"ZS 44mm",'NEW Feeder Reserved'!$F$1:$F$573,"Incoming")</f>
        <v>0</v>
      </c>
      <c r="E135" s="502">
        <f t="shared" si="8"/>
        <v>0</v>
      </c>
      <c r="F135" s="502">
        <f>SUMIFS('NEW Feeder Reserved'!$Q$1:$Q$573,'NEW Feeder Reserved'!$A$1:$A$573,"ZS 44mm",'NEW Feeder Reserved'!$F$1:$F$573,"Incoming")</f>
        <v>0</v>
      </c>
      <c r="G135" s="505">
        <f>SUMIFS('NEW Feeder Reserved'!$N$1:$N$573,'NEW Feeder Reserved'!$A$1:$A$573,"ZS 44mm",'NEW Feeder Reserved'!$F$1:$F$573,"已经到货",'NEW Feeder Reserved'!$I$1:$I$573,"没有预留机器")</f>
        <v>0</v>
      </c>
      <c r="H135" s="505">
        <f>SUMIFS('NEW Feeder Reserved'!$N$1:$N$573,'NEW Feeder Reserved'!$A$1:$A$573,"ZS 44mm",'NEW Feeder Reserved'!$F$1:$F$573,"有交期",'NEW Feeder Reserved'!$I$1:$I$573,"没有预留机器")</f>
        <v>0</v>
      </c>
      <c r="I135" s="505">
        <f>SUMIFS('NEW Feeder Reserved'!$N$1:$N$573,'NEW Feeder Reserved'!$A$1:$A$573,"ZS 44mm",'NEW Feeder Reserved'!$F$1:$F$573,"TBA",'NEW Feeder Reserved'!$I$1:$I$573,"没有预留机器")</f>
        <v>0</v>
      </c>
      <c r="J135" s="504">
        <v>0</v>
      </c>
      <c r="K135" s="504">
        <v>0</v>
      </c>
      <c r="L135" s="509">
        <f t="shared" si="9"/>
        <v>11</v>
      </c>
      <c r="M135" s="66"/>
      <c r="P135" s="65"/>
      <c r="Q135" s="48"/>
      <c r="R135" s="339"/>
      <c r="S135" s="339"/>
      <c r="T135" s="48"/>
    </row>
    <row r="136" spans="1:20">
      <c r="A136" s="362" t="s">
        <v>349</v>
      </c>
      <c r="B136" s="500">
        <f>B103+B84</f>
        <v>1</v>
      </c>
      <c r="C136" s="501">
        <f>SUMIFS('NEW Feeder Reserved'!$G$1:$G$573,'NEW Feeder Reserved'!$A$1:$A$573,"ZS 56mm",'NEW Feeder Reserved'!$F$1:$F$573,"有交期")</f>
        <v>0</v>
      </c>
      <c r="D136" s="501">
        <f>SUMIFS('NEW Feeder Reserved'!$G$1:$G$573,'NEW Feeder Reserved'!$A$1:$A$573,"ZS 56mm",'NEW Feeder Reserved'!$F$1:$F$573,"Incoming")</f>
        <v>0</v>
      </c>
      <c r="E136" s="502">
        <f t="shared" si="8"/>
        <v>0</v>
      </c>
      <c r="F136" s="502">
        <f>SUMIFS('NEW Feeder Reserved'!$Q$1:$Q$573,'NEW Feeder Reserved'!$A$1:$A$573,"ZS 56mm",'NEW Feeder Reserved'!$F$1:$F$573,"Incoming")</f>
        <v>0</v>
      </c>
      <c r="G136" s="505">
        <f>SUMIFS('NEW Feeder Reserved'!$N$1:$N$573,'NEW Feeder Reserved'!$A$1:$A$573,"ZS 56mm",'NEW Feeder Reserved'!$F$1:$F$573,"已经到货",'NEW Feeder Reserved'!$I$1:$I$573,"没有预留机器")</f>
        <v>0</v>
      </c>
      <c r="H136" s="505">
        <f>SUMIFS('NEW Feeder Reserved'!$N$1:$N$573,'NEW Feeder Reserved'!$A$1:$A$573,"ZS 56mm",'NEW Feeder Reserved'!$F$1:$F$573,"有交期",'NEW Feeder Reserved'!$I$1:$I$573,"没有预留机器")</f>
        <v>0</v>
      </c>
      <c r="I136" s="505">
        <f>SUMIFS('NEW Feeder Reserved'!$N$1:$N$573,'NEW Feeder Reserved'!$A$1:$A$573,"ZS 56mm",'NEW Feeder Reserved'!$F$1:$F$573,"TBA",'NEW Feeder Reserved'!$I$1:$I$573,"没有预留机器")</f>
        <v>0</v>
      </c>
      <c r="J136" s="504">
        <v>0</v>
      </c>
      <c r="K136" s="504">
        <v>0</v>
      </c>
      <c r="L136" s="509">
        <f t="shared" si="9"/>
        <v>1</v>
      </c>
      <c r="M136" s="66"/>
      <c r="P136" s="65"/>
      <c r="Q136" s="48"/>
      <c r="R136" s="339"/>
      <c r="S136" s="339"/>
      <c r="T136" s="48"/>
    </row>
    <row r="137" spans="1:20">
      <c r="A137" s="362" t="s">
        <v>351</v>
      </c>
      <c r="B137" s="500">
        <f>B104+B85</f>
        <v>0</v>
      </c>
      <c r="C137" s="501">
        <f>SUMIFS('NEW Feeder Reserved'!$G$1:$G$573,'NEW Feeder Reserved'!$A$1:$A$573,"ZS 72mm",'NEW Feeder Reserved'!$F$1:$F$573,"有交期")</f>
        <v>0</v>
      </c>
      <c r="D137" s="501">
        <f>SUMIFS('NEW Feeder Reserved'!$G$1:$G$573,'NEW Feeder Reserved'!$A$1:$A$573,"ZS 72mm",'NEW Feeder Reserved'!$F$1:$F$573,"Incoming")</f>
        <v>0</v>
      </c>
      <c r="E137" s="502">
        <f t="shared" si="8"/>
        <v>0</v>
      </c>
      <c r="F137" s="502">
        <f>SUMIFS('NEW Feeder Reserved'!$Q$1:$Q$573,'NEW Feeder Reserved'!$A$1:$A$573,"ZS 72mm",'NEW Feeder Reserved'!$F$1:$F$573,"Incoming")</f>
        <v>0</v>
      </c>
      <c r="G137" s="505">
        <f>SUMIFS('NEW Feeder Reserved'!$N$1:$N$573,'NEW Feeder Reserved'!$A$1:$A$573,"ZS 72mm",'NEW Feeder Reserved'!$F$1:$F$573,"已经到货",'NEW Feeder Reserved'!$I$1:$I$573,"没有预留机器")</f>
        <v>0</v>
      </c>
      <c r="H137" s="505">
        <f>SUMIFS('NEW Feeder Reserved'!$N$1:$N$573,'NEW Feeder Reserved'!$A$1:$A$573,"ZS 72mm",'NEW Feeder Reserved'!$F$1:$F$573,"有交期",'NEW Feeder Reserved'!$I$1:$I$573,"没有预留机器")</f>
        <v>0</v>
      </c>
      <c r="I137" s="505">
        <f>SUMIFS('NEW Feeder Reserved'!$N$1:$N$573,'NEW Feeder Reserved'!$A$1:$A$573,"ZS 72mm",'NEW Feeder Reserved'!$F$1:$F$573,"TBA",'NEW Feeder Reserved'!$I$1:$I$573,"没有预留机器")</f>
        <v>0</v>
      </c>
      <c r="J137" s="504">
        <v>0</v>
      </c>
      <c r="K137" s="504">
        <v>0</v>
      </c>
      <c r="L137" s="509">
        <f t="shared" si="9"/>
        <v>0</v>
      </c>
      <c r="M137" s="66"/>
      <c r="P137" s="65"/>
      <c r="Q137" s="48"/>
      <c r="R137" s="339"/>
      <c r="S137" s="339"/>
      <c r="T137" s="48"/>
    </row>
    <row r="138" spans="1:20" ht="21.6" thickBot="1">
      <c r="A138" s="347"/>
      <c r="B138" s="356">
        <f t="shared" ref="B138:F138" si="10">SUM(B123:B137)</f>
        <v>4583</v>
      </c>
      <c r="C138" s="356">
        <f t="shared" si="10"/>
        <v>0</v>
      </c>
      <c r="D138" s="356">
        <f t="shared" si="10"/>
        <v>0</v>
      </c>
      <c r="E138" s="356">
        <f t="shared" si="10"/>
        <v>823</v>
      </c>
      <c r="F138" s="356">
        <f t="shared" si="10"/>
        <v>175</v>
      </c>
      <c r="G138" s="356">
        <f t="shared" ref="G138:L138" si="11">SUM(G123:G137)</f>
        <v>168</v>
      </c>
      <c r="H138" s="356">
        <f t="shared" si="11"/>
        <v>167</v>
      </c>
      <c r="I138" s="356">
        <f t="shared" si="11"/>
        <v>967</v>
      </c>
      <c r="J138" s="356">
        <f t="shared" si="11"/>
        <v>545</v>
      </c>
      <c r="K138" s="356">
        <f t="shared" si="11"/>
        <v>310</v>
      </c>
      <c r="L138" s="356">
        <f t="shared" si="11"/>
        <v>1778</v>
      </c>
      <c r="M138" s="339"/>
      <c r="N138" s="339"/>
    </row>
    <row r="139" spans="1:20" ht="14.4" thickTop="1">
      <c r="A139" s="48"/>
      <c r="H139" s="66"/>
      <c r="M139" s="339"/>
      <c r="N139" s="339"/>
    </row>
    <row r="140" spans="1:20">
      <c r="H140" s="66"/>
      <c r="I140" s="48">
        <f>SUM(G138:I138)</f>
        <v>1302</v>
      </c>
      <c r="M140" s="339"/>
      <c r="N140" s="339"/>
    </row>
    <row r="141" spans="1:20">
      <c r="H141" s="66"/>
      <c r="M141" s="65"/>
      <c r="N141" s="339"/>
    </row>
    <row r="144" spans="1:20" ht="20.25" customHeight="1">
      <c r="A144" s="1" t="s">
        <v>1584</v>
      </c>
    </row>
    <row r="145" spans="1:15" ht="14.4">
      <c r="A145" s="350" t="s">
        <v>166</v>
      </c>
      <c r="B145" s="351" t="s">
        <v>1385</v>
      </c>
      <c r="C145" s="351" t="s">
        <v>1390</v>
      </c>
      <c r="D145" s="351" t="s">
        <v>1563</v>
      </c>
      <c r="E145" s="351" t="s">
        <v>238</v>
      </c>
      <c r="F145" s="392" t="s">
        <v>1482</v>
      </c>
      <c r="G145" s="48"/>
      <c r="K145" s="1"/>
      <c r="L145" s="1"/>
      <c r="M145" s="1"/>
      <c r="N145" s="1"/>
      <c r="O145" s="1"/>
    </row>
    <row r="146" spans="1:15">
      <c r="A146" s="362" t="s">
        <v>324</v>
      </c>
      <c r="B146" s="354">
        <f>300</f>
        <v>300</v>
      </c>
      <c r="C146" s="352">
        <f>SUMIFS('NEW Feeder Reserved'!$G$1:$G$573,'NEW Feeder Reserved'!$A$1:$A$573,"SS 8mm",'NEW Feeder Reserved'!$F$1:$F$573,"C66 SZX 有交期")</f>
        <v>0</v>
      </c>
      <c r="D146" s="352">
        <f>SUMIFS('NEW Feeder Reserved'!$G$1:$G$573,'NEW Feeder Reserved'!$A$1:$A$573,"SS 8mm",'NEW Feeder Reserved'!$F$1:$F$573,"C66 SZX TBA")</f>
        <v>0</v>
      </c>
      <c r="E146" s="353">
        <f>SUMIFS('NEW Feeder Reserved'!$M$1:$M$573,'NEW Feeder Reserved'!$A$1:$A$573,"SS 8mm",'NEW Feeder Reserved'!$I$1:$I$573,"66")</f>
        <v>80</v>
      </c>
      <c r="F146" s="510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2" t="s">
        <v>326</v>
      </c>
      <c r="B147" s="354">
        <f>150</f>
        <v>150</v>
      </c>
      <c r="C147" s="352">
        <f>SUMIFS('NEW Feeder Reserved'!$G$1:$G$573,'NEW Feeder Reserved'!$A$1:$A$573,"SS 12/16mm",'NEW Feeder Reserved'!$F$1:$F$573,"C66 SZX 有交期")</f>
        <v>0</v>
      </c>
      <c r="D147" s="352">
        <f>SUMIFS('NEW Feeder Reserved'!$G$1:$G$573,'NEW Feeder Reserved'!$A$1:$A$573,"SS 12/16mm",'NEW Feeder Reserved'!$F$1:$F$573,"C66 SZX TBA")</f>
        <v>0</v>
      </c>
      <c r="E147" s="353">
        <f>SUMIFS('NEW Feeder Reserved'!$M$1:$M$573,'NEW Feeder Reserved'!$A$1:$A$573,"SS 12/16mm",'NEW Feeder Reserved'!$I$1:$I$573,"66")</f>
        <v>14</v>
      </c>
      <c r="F147" s="510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2" t="s">
        <v>294</v>
      </c>
      <c r="B148" s="354">
        <f>25</f>
        <v>25</v>
      </c>
      <c r="C148" s="352">
        <f>SUMIFS('NEW Feeder Reserved'!$G$1:$G$573,'NEW Feeder Reserved'!$A$1:$A$573,"SS 24mm",'NEW Feeder Reserved'!$F$1:$F$573,"C66 SZX 有交期")</f>
        <v>0</v>
      </c>
      <c r="D148" s="352">
        <f>SUMIFS('NEW Feeder Reserved'!$G$1:$G$573,'NEW Feeder Reserved'!$A$1:$A$573,"SS 24mm",'NEW Feeder Reserved'!$F$1:$F$573,"C66 SZX TBA")</f>
        <v>0</v>
      </c>
      <c r="E148" s="353">
        <f>SUMIFS('NEW Feeder Reserved'!$M$1:$M$573,'NEW Feeder Reserved'!$A$1:$A$573,"SS 24mm",'NEW Feeder Reserved'!$I$1:$I$573,"66")</f>
        <v>11</v>
      </c>
      <c r="F148" s="510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2" t="s">
        <v>329</v>
      </c>
      <c r="B149" s="354">
        <f>15</f>
        <v>15</v>
      </c>
      <c r="C149" s="352">
        <f>SUMIFS('NEW Feeder Reserved'!$G$1:$G$573,'NEW Feeder Reserved'!$A$1:$A$573,"SS 32mm",'NEW Feeder Reserved'!$F$1:$F$573,"C66 SZX 有交期")</f>
        <v>0</v>
      </c>
      <c r="D149" s="352">
        <f>SUMIFS('NEW Feeder Reserved'!$G$1:$G$573,'NEW Feeder Reserved'!$A$1:$A$573,"SS 32mm",'NEW Feeder Reserved'!$F$1:$F$573,"C66 SZX TBA")</f>
        <v>0</v>
      </c>
      <c r="E149" s="353">
        <f>SUMIFS('NEW Feeder Reserved'!$M$1:$M$573,'NEW Feeder Reserved'!$A$1:$A$573,"SS 32mm",'NEW Feeder Reserved'!$I$1:$I$573,"66")</f>
        <v>0</v>
      </c>
      <c r="F149" s="510">
        <f t="shared" si="12"/>
        <v>15</v>
      </c>
      <c r="J149" s="65"/>
      <c r="K149" s="48"/>
      <c r="O149" s="1"/>
    </row>
    <row r="150" spans="1:15">
      <c r="A150" s="362" t="s">
        <v>331</v>
      </c>
      <c r="B150" s="354">
        <f>12</f>
        <v>12</v>
      </c>
      <c r="C150" s="352">
        <f>SUMIFS('NEW Feeder Reserved'!$G$1:$G$573,'NEW Feeder Reserved'!$A$1:$A$573,"SS 44mm",'NEW Feeder Reserved'!$F$1:$F$573,"C66 SZX 有交期")</f>
        <v>0</v>
      </c>
      <c r="D150" s="352">
        <f>SUMIFS('NEW Feeder Reserved'!$G$1:$G$573,'NEW Feeder Reserved'!$A$1:$A$573,"SS 44mm",'NEW Feeder Reserved'!$F$1:$F$573,"C66 SZX TBA")</f>
        <v>0</v>
      </c>
      <c r="E150" s="353">
        <f>SUMIFS('NEW Feeder Reserved'!$M$1:$M$573,'NEW Feeder Reserved'!$A$1:$A$573,"SS 44mm",'NEW Feeder Reserved'!$I$1:$I$573,"66")</f>
        <v>3</v>
      </c>
      <c r="F150" s="510">
        <f t="shared" si="12"/>
        <v>9</v>
      </c>
      <c r="J150" s="65"/>
      <c r="K150" s="48"/>
      <c r="O150" s="1"/>
    </row>
    <row r="151" spans="1:15">
      <c r="A151" s="362" t="s">
        <v>333</v>
      </c>
      <c r="B151" s="354">
        <v>1</v>
      </c>
      <c r="C151" s="352">
        <f>SUMIFS('NEW Feeder Reserved'!$G$1:$G$573,'NEW Feeder Reserved'!$A$1:$A$573,"SS 56mm",'NEW Feeder Reserved'!$F$1:$F$573,"C66 SZX 有交期")</f>
        <v>0</v>
      </c>
      <c r="D151" s="352">
        <f>SUMIFS('NEW Feeder Reserved'!$G$1:$G$573,'NEW Feeder Reserved'!$A$1:$A$573,"SS 56mm",'NEW Feeder Reserved'!$F$1:$F$573,"C66 SZX TBA")</f>
        <v>0</v>
      </c>
      <c r="E151" s="353">
        <f>SUMIFS('NEW Feeder Reserved'!$M$1:$M$573,'NEW Feeder Reserved'!$A$1:$A$573,"SS 56mm",'NEW Feeder Reserved'!$I$1:$I$573,"66")</f>
        <v>2</v>
      </c>
      <c r="F151" s="510">
        <f t="shared" si="12"/>
        <v>-1</v>
      </c>
      <c r="J151" s="65"/>
      <c r="K151" s="48"/>
      <c r="O151" s="1"/>
    </row>
    <row r="152" spans="1:15" ht="14.4">
      <c r="A152" s="362" t="s">
        <v>335</v>
      </c>
      <c r="B152" s="354">
        <v>0</v>
      </c>
      <c r="C152" s="352">
        <f>SUMIFS('NEW Feeder Reserved'!$G$1:$G$573,'NEW Feeder Reserved'!$A$1:$A$573,"SS 72mm",'NEW Feeder Reserved'!$F$1:$F$573,"C66 SZX 有交期")</f>
        <v>0</v>
      </c>
      <c r="D152" s="352">
        <f>SUMIFS('NEW Feeder Reserved'!$G$1:$G$573,'NEW Feeder Reserved'!$A$1:$A$573,"SS 72mm",'NEW Feeder Reserved'!$F$1:$F$573,"C66 SZX TBA")</f>
        <v>0</v>
      </c>
      <c r="E152" s="353">
        <f>SUMIFS('NEW Feeder Reserved'!$M$1:$M$573,'NEW Feeder Reserved'!$A$1:$A$573,"SS 72mm",'NEW Feeder Reserved'!$I$1:$I$573,"66")</f>
        <v>0</v>
      </c>
      <c r="F152" s="510">
        <f t="shared" si="12"/>
        <v>0</v>
      </c>
      <c r="H152" s="386"/>
      <c r="J152" s="87"/>
      <c r="K152" s="646"/>
      <c r="L152" s="646"/>
      <c r="O152" s="1"/>
    </row>
    <row r="153" spans="1:15" ht="14.4">
      <c r="A153" s="362" t="s">
        <v>363</v>
      </c>
      <c r="B153" s="354">
        <v>0</v>
      </c>
      <c r="C153" s="352">
        <f>SUMIFS('NEW Feeder Reserved'!$G$1:$G$573,'NEW Feeder Reserved'!$A$1:$A$573,"ZS 4mm",'NEW Feeder Reserved'!$F$1:$F$573,"C66 SZX 有交期")</f>
        <v>0</v>
      </c>
      <c r="D153" s="352">
        <f>SUMIFS('NEW Feeder Reserved'!$G$1:$G$573,'NEW Feeder Reserved'!$A$1:$A$573,"ZS 4mm",'NEW Feeder Reserved'!$F$1:$F$573,"C66 SZX TBA")</f>
        <v>0</v>
      </c>
      <c r="E153" s="353">
        <f>SUMIFS('NEW Feeder Reserved'!$M$1:$M$573,'NEW Feeder Reserved'!$A$1:$A$573,"ZS 4mm",'NEW Feeder Reserved'!$I$1:$I$573,"66")</f>
        <v>0</v>
      </c>
      <c r="F153" s="510">
        <f t="shared" si="12"/>
        <v>0</v>
      </c>
      <c r="H153" s="386"/>
      <c r="J153" s="87"/>
      <c r="K153" s="387"/>
      <c r="L153" s="387"/>
      <c r="O153" s="1"/>
    </row>
    <row r="154" spans="1:15">
      <c r="A154" s="362" t="s">
        <v>364</v>
      </c>
      <c r="B154" s="354">
        <v>100</v>
      </c>
      <c r="C154" s="352">
        <f>SUMIFS('NEW Feeder Reserved'!$G$1:$G$573,'NEW Feeder Reserved'!$A$1:$A$573,"ZS 8mm",'NEW Feeder Reserved'!$F$1:$F$573,"C66 SZX 有交期")</f>
        <v>0</v>
      </c>
      <c r="D154" s="352">
        <f>SUMIFS('NEW Feeder Reserved'!$G$1:$G$573,'NEW Feeder Reserved'!$A$1:$A$573,"ZS 8mm",'NEW Feeder Reserved'!$F$1:$F$573,"C66 SZX TBA")</f>
        <v>0</v>
      </c>
      <c r="E154" s="353">
        <f>SUMIFS('NEW Feeder Reserved'!$M$1:$M$573,'NEW Feeder Reserved'!$A$1:$A$573,"ZS 8mm",'NEW Feeder Reserved'!$I$1:$I$573,"66")</f>
        <v>638</v>
      </c>
      <c r="F154" s="510">
        <f t="shared" si="12"/>
        <v>-538</v>
      </c>
      <c r="J154" s="65"/>
      <c r="K154" s="48"/>
      <c r="L154" s="388"/>
      <c r="M154" s="388"/>
      <c r="O154" s="1"/>
    </row>
    <row r="155" spans="1:15">
      <c r="A155" s="362" t="s">
        <v>341</v>
      </c>
      <c r="B155" s="354">
        <v>10</v>
      </c>
      <c r="C155" s="352">
        <f>SUMIFS('NEW Feeder Reserved'!$G$1:$G$573,'NEW Feeder Reserved'!$A$1:$A$573,"ZS 12/16mm",'NEW Feeder Reserved'!$F$1:$F$573,"C66 SZX 有交期")</f>
        <v>0</v>
      </c>
      <c r="D155" s="352">
        <f>SUMIFS('NEW Feeder Reserved'!$G$1:$G$573,'NEW Feeder Reserved'!$A$1:$A$573,"ZS 12/16mm",'NEW Feeder Reserved'!$F$1:$F$573,"C66 SZX TBA")</f>
        <v>0</v>
      </c>
      <c r="E155" s="353">
        <f>SUMIFS('NEW Feeder Reserved'!$M$1:$M$573,'NEW Feeder Reserved'!$A$1:$A$573,"ZS 12/16mm",'NEW Feeder Reserved'!$I$1:$I$573,"66")</f>
        <v>33</v>
      </c>
      <c r="F155" s="510">
        <f t="shared" si="12"/>
        <v>-23</v>
      </c>
      <c r="J155" s="65"/>
      <c r="K155" s="48"/>
      <c r="L155" s="388"/>
      <c r="M155" s="388"/>
      <c r="O155" s="1"/>
    </row>
    <row r="156" spans="1:15">
      <c r="A156" s="362" t="s">
        <v>343</v>
      </c>
      <c r="B156" s="354">
        <v>0</v>
      </c>
      <c r="C156" s="352">
        <f>SUMIFS('NEW Feeder Reserved'!$G$1:$G$573,'NEW Feeder Reserved'!$A$1:$A$573,"ZS 24mm",'NEW Feeder Reserved'!$F$1:$F$573,"C66 SZX 有交期")</f>
        <v>0</v>
      </c>
      <c r="D156" s="352">
        <f>SUMIFS('NEW Feeder Reserved'!$G$1:$G$573,'NEW Feeder Reserved'!$A$1:$A$573,"ZS 24mm",'NEW Feeder Reserved'!$F$1:$F$573,"C66 SZX TBA")</f>
        <v>0</v>
      </c>
      <c r="E156" s="353">
        <f>SUMIFS('NEW Feeder Reserved'!$M$1:$M$573,'NEW Feeder Reserved'!$A$1:$A$573,"ZS 24mm",'NEW Feeder Reserved'!$I$1:$I$573,"66")</f>
        <v>27</v>
      </c>
      <c r="F156" s="510">
        <f t="shared" si="12"/>
        <v>-27</v>
      </c>
      <c r="J156" s="65"/>
      <c r="K156" s="48"/>
      <c r="L156" s="388"/>
      <c r="M156" s="388"/>
      <c r="O156" s="1"/>
    </row>
    <row r="157" spans="1:15">
      <c r="A157" s="362" t="s">
        <v>345</v>
      </c>
      <c r="B157" s="354">
        <v>0</v>
      </c>
      <c r="C157" s="352">
        <f>SUMIFS('NEW Feeder Reserved'!$G$1:$G$573,'NEW Feeder Reserved'!$A$1:$A$573,"ZS 32mm",'NEW Feeder Reserved'!$F$1:$F$573,"C66 SZX 有交期")</f>
        <v>0</v>
      </c>
      <c r="D157" s="352">
        <f>SUMIFS('NEW Feeder Reserved'!$G$1:$G$573,'NEW Feeder Reserved'!$A$1:$A$573,"ZS 32mm",'NEW Feeder Reserved'!$F$1:$F$573,"C66 SZX TBA")</f>
        <v>0</v>
      </c>
      <c r="E157" s="353">
        <f>SUMIFS('NEW Feeder Reserved'!$M$1:$M$573,'NEW Feeder Reserved'!$A$1:$A$573,"ZS 32mm",'NEW Feeder Reserved'!$I$1:$I$573,"66")</f>
        <v>6</v>
      </c>
      <c r="F157" s="510">
        <f t="shared" si="12"/>
        <v>-6</v>
      </c>
      <c r="J157" s="65"/>
      <c r="K157" s="48"/>
      <c r="L157" s="388"/>
      <c r="M157" s="388"/>
      <c r="O157" s="1"/>
    </row>
    <row r="158" spans="1:15">
      <c r="A158" s="362" t="s">
        <v>347</v>
      </c>
      <c r="B158" s="354">
        <v>0</v>
      </c>
      <c r="C158" s="352">
        <f>SUMIFS('NEW Feeder Reserved'!$G$1:$G$573,'NEW Feeder Reserved'!$A$1:$A$573,"ZS 44mm",'NEW Feeder Reserved'!$F$1:$F$573,"C66 SZX 有交期")</f>
        <v>0</v>
      </c>
      <c r="D158" s="352">
        <f>SUMIFS('NEW Feeder Reserved'!$G$1:$G$573,'NEW Feeder Reserved'!$A$1:$A$573,"ZS 44mm",'NEW Feeder Reserved'!$F$1:$F$573,"C66 SZX TBA")</f>
        <v>0</v>
      </c>
      <c r="E158" s="353">
        <f>SUMIFS('NEW Feeder Reserved'!$M$1:$M$573,'NEW Feeder Reserved'!$A$1:$A$573,"ZS 44mm",'NEW Feeder Reserved'!$I$1:$I$573,"66")</f>
        <v>5</v>
      </c>
      <c r="F158" s="510">
        <f t="shared" si="12"/>
        <v>-5</v>
      </c>
      <c r="J158" s="65"/>
      <c r="K158" s="48"/>
      <c r="L158" s="388"/>
      <c r="M158" s="388"/>
      <c r="O158" s="1"/>
    </row>
    <row r="159" spans="1:15">
      <c r="A159" s="362" t="s">
        <v>349</v>
      </c>
      <c r="B159" s="354">
        <v>0</v>
      </c>
      <c r="C159" s="352">
        <f>SUMIFS('NEW Feeder Reserved'!$G$1:$G$573,'NEW Feeder Reserved'!$A$1:$A$573,"ZS 56mm",'NEW Feeder Reserved'!$F$1:$F$573,"C66 SZX 有交期")</f>
        <v>0</v>
      </c>
      <c r="D159" s="352">
        <f>SUMIFS('NEW Feeder Reserved'!$G$1:$G$573,'NEW Feeder Reserved'!$A$1:$A$573,"ZS 56mm",'NEW Feeder Reserved'!$F$1:$F$573,"C66 SZX TBA")</f>
        <v>0</v>
      </c>
      <c r="E159" s="353">
        <f>SUMIFS('NEW Feeder Reserved'!$M$1:$M$573,'NEW Feeder Reserved'!$A$1:$A$573,"ZS 56mm",'NEW Feeder Reserved'!$I$1:$I$573,"66")</f>
        <v>1</v>
      </c>
      <c r="F159" s="510">
        <f t="shared" si="12"/>
        <v>-1</v>
      </c>
      <c r="J159" s="65"/>
      <c r="K159" s="48"/>
      <c r="L159" s="388"/>
      <c r="M159" s="388"/>
      <c r="O159" s="1"/>
    </row>
    <row r="160" spans="1:15">
      <c r="A160" s="362" t="s">
        <v>351</v>
      </c>
      <c r="B160" s="354">
        <v>0</v>
      </c>
      <c r="C160" s="352">
        <f>SUMIFS('NEW Feeder Reserved'!$G$1:$G$573,'NEW Feeder Reserved'!$A$1:$A$573,"ZS 72mm",'NEW Feeder Reserved'!$F$1:$F$573,"C66 SZX 有交期")</f>
        <v>0</v>
      </c>
      <c r="D160" s="352">
        <f>SUMIFS('NEW Feeder Reserved'!$G$1:$G$573,'NEW Feeder Reserved'!$A$1:$A$573,"ZS 72mm",'NEW Feeder Reserved'!$F$1:$F$573,"C66 SZX TBA")</f>
        <v>0</v>
      </c>
      <c r="E160" s="353">
        <f>SUMIFS('NEW Feeder Reserved'!$M$1:$M$573,'NEW Feeder Reserved'!$A$1:$A$573,"ZS 72mm",'NEW Feeder Reserved'!$I$1:$I$573,"66")</f>
        <v>0</v>
      </c>
      <c r="F160" s="510">
        <f t="shared" si="12"/>
        <v>0</v>
      </c>
      <c r="J160" s="65"/>
      <c r="K160" s="48"/>
      <c r="L160" s="388"/>
      <c r="M160" s="388"/>
      <c r="O160" s="1"/>
    </row>
    <row r="161" spans="1:15" ht="21.6" thickBot="1">
      <c r="A161" s="347"/>
      <c r="B161" s="356">
        <f>SUM(B146:B160)</f>
        <v>613</v>
      </c>
      <c r="C161" s="356"/>
      <c r="D161" s="356"/>
      <c r="E161" s="356">
        <f>SUM(E146:E160)</f>
        <v>820</v>
      </c>
      <c r="F161" s="356">
        <f>SUM(F146:F160)</f>
        <v>-207</v>
      </c>
      <c r="G161" s="356"/>
      <c r="H161" s="388"/>
      <c r="I161" s="388"/>
      <c r="K161" s="1"/>
      <c r="L161" s="1"/>
      <c r="M161" s="1"/>
      <c r="N161" s="1"/>
      <c r="O161" s="1"/>
    </row>
    <row r="162" spans="1:15" ht="14.4" thickTop="1"/>
    <row r="164" spans="1:15" ht="21">
      <c r="A164" s="420" t="s">
        <v>1586</v>
      </c>
    </row>
    <row r="165" spans="1:15" ht="28.8">
      <c r="A165" s="350" t="s">
        <v>166</v>
      </c>
      <c r="B165" s="349" t="s">
        <v>372</v>
      </c>
      <c r="C165" s="351" t="s">
        <v>1390</v>
      </c>
      <c r="D165" s="351" t="s">
        <v>1563</v>
      </c>
      <c r="E165" s="351" t="s">
        <v>238</v>
      </c>
      <c r="F165" s="422" t="s">
        <v>1591</v>
      </c>
      <c r="G165" s="392" t="s">
        <v>1589</v>
      </c>
      <c r="H165" s="392"/>
      <c r="J165" s="340" t="s">
        <v>1590</v>
      </c>
      <c r="K165" s="48"/>
      <c r="L165" s="1"/>
      <c r="M165" s="1"/>
      <c r="N165" s="1"/>
      <c r="O165" s="1"/>
    </row>
    <row r="166" spans="1:15">
      <c r="A166" s="362" t="s">
        <v>324</v>
      </c>
      <c r="B166" s="421">
        <v>300</v>
      </c>
      <c r="C166" s="352">
        <f>SUMIFS('NEW Feeder Reserved'!$G$1:$G$573,'NEW Feeder Reserved'!$A$1:$A$573,"SS 8mm",'NEW Feeder Reserved'!$F$1:$F$573,"C66 SZX 有交期")</f>
        <v>0</v>
      </c>
      <c r="D166" s="352">
        <f>SUMIFS('NEW Feeder Reserved'!$G$1:$G$573,'NEW Feeder Reserved'!$A$1:$A$573,"SS 8mm",'NEW Feeder Reserved'!$F$1:$F$573,"C66 SZX TBA")</f>
        <v>0</v>
      </c>
      <c r="E166" s="353">
        <v>200</v>
      </c>
      <c r="F166" s="354">
        <f>300</f>
        <v>300</v>
      </c>
      <c r="G166" s="355">
        <f>B166+C166+D166-E166</f>
        <v>100</v>
      </c>
      <c r="H166" s="344"/>
      <c r="I166" s="344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2" t="s">
        <v>1588</v>
      </c>
      <c r="B167" s="421">
        <v>0</v>
      </c>
      <c r="C167" s="352">
        <f>SUMIFS('NEW Feeder Reserved'!$G$1:$G$573,'NEW Feeder Reserved'!$A$1:$A$573,"ZSR 8mm",'NEW Feeder Reserved'!$F$1:$F$573,"C66 SZX 有交期")</f>
        <v>0</v>
      </c>
      <c r="D167" s="352">
        <f>SUMIFS('NEW Feeder Reserved'!$G$1:$G$573,'NEW Feeder Reserved'!$A$1:$A$573,"ZSR 8mm",'NEW Feeder Reserved'!$F$1:$F$573,"C66 SZX TBA")</f>
        <v>0</v>
      </c>
      <c r="E167" s="353">
        <f>SUMIFS('NEW Feeder Reserved'!$M$1:$M$573,'NEW Feeder Reserved'!$A$1:$A$573,"ZSR 8mm",'NEW Feeder Reserved'!$I$1:$I$573,"66",'NEW Feeder Reserved'!$H$1:$H$573,"SZX")</f>
        <v>0</v>
      </c>
      <c r="F167" s="354">
        <v>0</v>
      </c>
      <c r="G167" s="355">
        <f t="shared" ref="G167:G174" si="13">B167+C167+D167-E167</f>
        <v>0</v>
      </c>
      <c r="H167" s="344"/>
      <c r="I167" s="344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 ht="14.4">
      <c r="A168" s="362" t="s">
        <v>363</v>
      </c>
      <c r="B168" s="421">
        <v>0</v>
      </c>
      <c r="C168" s="352">
        <f>SUMIFS('NEW Feeder Reserved'!$G$1:$G$573,'NEW Feeder Reserved'!$A$1:$A$573,"ZS 4mm",'NEW Feeder Reserved'!$F$1:$F$573,"C66 SZX 有交期")</f>
        <v>0</v>
      </c>
      <c r="D168" s="352">
        <f>SUMIFS('NEW Feeder Reserved'!$G$1:$G$573,'NEW Feeder Reserved'!$A$1:$A$573,"ZS 4mm",'NEW Feeder Reserved'!$F$1:$F$573,"C66 SZX TBA")</f>
        <v>0</v>
      </c>
      <c r="E168" s="353">
        <f>SUMIFS('NEW Feeder Reserved'!$M$1:$M$573,'NEW Feeder Reserved'!$A$1:$A$573,"ZS 4mm",'NEW Feeder Reserved'!$I$1:$I$573,"66",'NEW Feeder Reserved'!$H$1:$H$573,"SZX")</f>
        <v>0</v>
      </c>
      <c r="F168" s="354">
        <v>0</v>
      </c>
      <c r="G168" s="355">
        <f t="shared" si="13"/>
        <v>0</v>
      </c>
      <c r="H168" s="344"/>
      <c r="I168" s="344"/>
      <c r="J168" s="48">
        <f t="shared" si="14"/>
        <v>0</v>
      </c>
      <c r="K168" s="87"/>
      <c r="L168" s="387"/>
      <c r="M168" s="387"/>
    </row>
    <row r="169" spans="1:15">
      <c r="A169" s="362" t="s">
        <v>341</v>
      </c>
      <c r="B169" s="421">
        <v>10</v>
      </c>
      <c r="C169" s="352">
        <f>SUMIFS('NEW Feeder Reserved'!$G$1:$G$573,'NEW Feeder Reserved'!$A$1:$A$573,"ZS 12/16mm",'NEW Feeder Reserved'!$F$1:$F$573,"C66 SZX 有交期")</f>
        <v>0</v>
      </c>
      <c r="D169" s="352">
        <f>SUMIFS('NEW Feeder Reserved'!$G$1:$G$573,'NEW Feeder Reserved'!$A$1:$A$573,"ZS 12/16mm",'NEW Feeder Reserved'!$F$1:$F$573,"C66 SZX TBA")</f>
        <v>0</v>
      </c>
      <c r="E169" s="353">
        <v>10</v>
      </c>
      <c r="F169" s="354">
        <v>10</v>
      </c>
      <c r="G169" s="355">
        <f t="shared" si="13"/>
        <v>0</v>
      </c>
      <c r="H169" s="344"/>
      <c r="I169" s="344"/>
      <c r="J169" s="48">
        <f t="shared" si="14"/>
        <v>10</v>
      </c>
      <c r="M169" s="388"/>
      <c r="N169" s="388"/>
    </row>
    <row r="170" spans="1:15">
      <c r="A170" s="362" t="s">
        <v>343</v>
      </c>
      <c r="B170" s="421"/>
      <c r="C170" s="352">
        <f>SUMIFS('NEW Feeder Reserved'!$G$1:$G$573,'NEW Feeder Reserved'!$A$1:$A$573,"ZS 24mm",'NEW Feeder Reserved'!$F$1:$F$573,"C66 SZX 有交期")</f>
        <v>0</v>
      </c>
      <c r="D170" s="352">
        <f>SUMIFS('NEW Feeder Reserved'!$G$1:$G$573,'NEW Feeder Reserved'!$A$1:$A$573,"ZS 24mm",'NEW Feeder Reserved'!$F$1:$F$573,"C66 SZX TBA")</f>
        <v>0</v>
      </c>
      <c r="E170" s="353">
        <f>SUMIFS('NEW Feeder Reserved'!$M$1:$M$573,'NEW Feeder Reserved'!$A$1:$A$573,"ZS 24mm",'NEW Feeder Reserved'!$I$1:$I$573,"66",'NEW Feeder Reserved'!$H$1:$H$573,"SZX")</f>
        <v>15</v>
      </c>
      <c r="F170" s="354">
        <v>0</v>
      </c>
      <c r="G170" s="355">
        <f t="shared" si="13"/>
        <v>-15</v>
      </c>
      <c r="H170" s="344"/>
      <c r="I170" s="344"/>
      <c r="J170" s="48">
        <f t="shared" si="14"/>
        <v>0</v>
      </c>
      <c r="M170" s="388"/>
      <c r="N170" s="388"/>
    </row>
    <row r="171" spans="1:15">
      <c r="A171" s="362" t="s">
        <v>345</v>
      </c>
      <c r="B171" s="421"/>
      <c r="C171" s="352">
        <f>SUMIFS('NEW Feeder Reserved'!$G$1:$G$573,'NEW Feeder Reserved'!$A$1:$A$573,"ZS 32mm",'NEW Feeder Reserved'!$F$1:$F$573,"C66 SZX 有交期")</f>
        <v>0</v>
      </c>
      <c r="D171" s="352">
        <f>SUMIFS('NEW Feeder Reserved'!$G$1:$G$573,'NEW Feeder Reserved'!$A$1:$A$573,"ZS 32mm",'NEW Feeder Reserved'!$F$1:$F$573,"C66 SZX TBA")</f>
        <v>0</v>
      </c>
      <c r="E171" s="353">
        <f>SUMIFS('NEW Feeder Reserved'!$M$1:$M$573,'NEW Feeder Reserved'!$A$1:$A$573,"ZS 32mm",'NEW Feeder Reserved'!$I$1:$I$573,"66",'NEW Feeder Reserved'!$H$1:$H$573,"SZX")</f>
        <v>4</v>
      </c>
      <c r="F171" s="354">
        <v>0</v>
      </c>
      <c r="G171" s="355">
        <f t="shared" si="13"/>
        <v>-4</v>
      </c>
      <c r="H171" s="344"/>
      <c r="I171" s="344"/>
      <c r="J171" s="48">
        <f t="shared" si="14"/>
        <v>0</v>
      </c>
      <c r="M171" s="388"/>
      <c r="N171" s="388"/>
    </row>
    <row r="172" spans="1:15">
      <c r="A172" s="362" t="s">
        <v>347</v>
      </c>
      <c r="B172" s="421"/>
      <c r="C172" s="352">
        <f>SUMIFS('NEW Feeder Reserved'!$G$1:$G$573,'NEW Feeder Reserved'!$A$1:$A$573,"ZS 44mm",'NEW Feeder Reserved'!$F$1:$F$573,"C66 SZX 有交期")</f>
        <v>0</v>
      </c>
      <c r="D172" s="352">
        <f>SUMIFS('NEW Feeder Reserved'!$G$1:$G$573,'NEW Feeder Reserved'!$A$1:$A$573,"ZS 44mm",'NEW Feeder Reserved'!$F$1:$F$573,"C66 SZX TBA")</f>
        <v>0</v>
      </c>
      <c r="E172" s="353">
        <f>SUMIFS('NEW Feeder Reserved'!$M$1:$M$573,'NEW Feeder Reserved'!$A$1:$A$573,"ZS 44mm",'NEW Feeder Reserved'!$I$1:$I$573,"66",'NEW Feeder Reserved'!$H$1:$H$573,"SZX")</f>
        <v>2</v>
      </c>
      <c r="F172" s="354">
        <v>0</v>
      </c>
      <c r="G172" s="355">
        <f t="shared" si="13"/>
        <v>-2</v>
      </c>
      <c r="H172" s="344"/>
      <c r="I172" s="344"/>
      <c r="J172" s="48">
        <f t="shared" si="14"/>
        <v>0</v>
      </c>
      <c r="M172" s="388"/>
      <c r="N172" s="388"/>
    </row>
    <row r="173" spans="1:15">
      <c r="A173" s="362" t="s">
        <v>349</v>
      </c>
      <c r="B173" s="421"/>
      <c r="C173" s="352">
        <f>SUMIFS('NEW Feeder Reserved'!$G$1:$G$573,'NEW Feeder Reserved'!$A$1:$A$573,"ZS 56mm",'NEW Feeder Reserved'!$F$1:$F$573,"C66 SZX 有交期")</f>
        <v>0</v>
      </c>
      <c r="D173" s="352">
        <f>SUMIFS('NEW Feeder Reserved'!$G$1:$G$573,'NEW Feeder Reserved'!$A$1:$A$573,"ZS 56mm",'NEW Feeder Reserved'!$F$1:$F$573,"C66 SZX TBA")</f>
        <v>0</v>
      </c>
      <c r="E173" s="353">
        <f>SUMIFS('NEW Feeder Reserved'!$M$1:$M$573,'NEW Feeder Reserved'!$A$1:$A$573,"ZS 56mm",'NEW Feeder Reserved'!$I$1:$I$573,"66",'NEW Feeder Reserved'!$H$1:$H$573,"SZX")</f>
        <v>1</v>
      </c>
      <c r="F173" s="354">
        <v>0</v>
      </c>
      <c r="G173" s="355">
        <f t="shared" si="13"/>
        <v>-1</v>
      </c>
      <c r="H173" s="344"/>
      <c r="I173" s="344"/>
      <c r="J173" s="48">
        <f t="shared" si="14"/>
        <v>0</v>
      </c>
      <c r="M173" s="388"/>
      <c r="N173" s="388"/>
    </row>
    <row r="174" spans="1:15">
      <c r="A174" s="362" t="s">
        <v>351</v>
      </c>
      <c r="B174" s="421"/>
      <c r="C174" s="352">
        <f>SUMIFS('NEW Feeder Reserved'!$G$1:$G$573,'NEW Feeder Reserved'!$A$1:$A$573,"ZS 72mm",'NEW Feeder Reserved'!$F$1:$F$573,"C66 SZX 有交期")</f>
        <v>0</v>
      </c>
      <c r="D174" s="352">
        <f>SUMIFS('NEW Feeder Reserved'!$G$1:$G$573,'NEW Feeder Reserved'!$A$1:$A$573,"ZS 72mm",'NEW Feeder Reserved'!$F$1:$F$573,"C66 SZX TBA")</f>
        <v>0</v>
      </c>
      <c r="E174" s="353">
        <f>SUMIFS('NEW Feeder Reserved'!$M$1:$M$573,'NEW Feeder Reserved'!$A$1:$A$573,"ZS 72mm",'NEW Feeder Reserved'!$I$1:$I$573,"66",'NEW Feeder Reserved'!$H$1:$H$573,"SZX")</f>
        <v>0</v>
      </c>
      <c r="F174" s="354">
        <v>0</v>
      </c>
      <c r="G174" s="355">
        <f t="shared" si="13"/>
        <v>0</v>
      </c>
      <c r="H174" s="344"/>
      <c r="I174" s="344"/>
      <c r="J174" s="48">
        <f t="shared" si="14"/>
        <v>0</v>
      </c>
      <c r="M174" s="388"/>
      <c r="N174" s="388"/>
    </row>
    <row r="175" spans="1:15" ht="21.6" thickBot="1">
      <c r="A175" s="347"/>
      <c r="B175" s="347"/>
      <c r="C175" s="356">
        <f>SUM(F166:F174)</f>
        <v>310</v>
      </c>
      <c r="D175" s="356"/>
      <c r="E175" s="356"/>
      <c r="F175" s="356">
        <f>SUM(E166:E174)</f>
        <v>232</v>
      </c>
      <c r="G175" s="356">
        <f>SUM(G166:G174)</f>
        <v>78</v>
      </c>
      <c r="H175" s="356"/>
      <c r="I175" s="388"/>
      <c r="J175" s="388"/>
      <c r="K175" s="48"/>
      <c r="L175" s="1"/>
      <c r="M175" s="1"/>
      <c r="N175" s="1"/>
      <c r="O175" s="1"/>
    </row>
    <row r="176" spans="1:15" ht="14.4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filterMode="1"/>
  <dimension ref="A1:W166"/>
  <sheetViews>
    <sheetView zoomScale="99" zoomScaleNormal="99"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K66" sqref="K66:M67"/>
    </sheetView>
  </sheetViews>
  <sheetFormatPr defaultColWidth="9" defaultRowHeight="13.8"/>
  <cols>
    <col min="1" max="1" width="7.21875" style="478" customWidth="1"/>
    <col min="2" max="2" width="12.21875" style="442" customWidth="1"/>
    <col min="3" max="3" width="14.21875" style="435" customWidth="1"/>
    <col min="4" max="4" width="12.21875" style="156" customWidth="1"/>
    <col min="5" max="5" width="16.21875" style="160" customWidth="1"/>
    <col min="6" max="6" width="10.77734375" style="157" customWidth="1"/>
    <col min="7" max="8" width="10.21875" style="146" customWidth="1"/>
    <col min="9" max="9" width="6.21875" style="158" customWidth="1"/>
    <col min="10" max="10" width="5.21875" style="138" customWidth="1"/>
    <col min="11" max="11" width="16.44140625" style="140" bestFit="1" customWidth="1"/>
    <col min="12" max="12" width="19" style="139" customWidth="1"/>
    <col min="13" max="13" width="6.21875" style="140" customWidth="1"/>
    <col min="14" max="14" width="10.21875" style="141" customWidth="1"/>
    <col min="15" max="15" width="5.21875" style="140" customWidth="1"/>
    <col min="16" max="16" width="7.44140625" style="132" customWidth="1"/>
    <col min="17" max="17" width="5.77734375" style="132" hidden="1" customWidth="1"/>
    <col min="18" max="18" width="9.77734375" style="142" customWidth="1"/>
    <col min="19" max="19" width="9.77734375" style="132" customWidth="1"/>
    <col min="20" max="20" width="9.77734375" style="134" customWidth="1"/>
    <col min="21" max="21" width="16.44140625" style="123" customWidth="1"/>
    <col min="22" max="22" width="24.77734375" style="123" customWidth="1"/>
    <col min="23" max="23" width="9" style="149"/>
    <col min="24" max="16384" width="9" style="146"/>
  </cols>
  <sheetData>
    <row r="1" spans="1:23" s="112" customFormat="1" ht="26.25" customHeight="1">
      <c r="A1" s="477" t="s">
        <v>370</v>
      </c>
      <c r="B1" s="428" t="s">
        <v>166</v>
      </c>
      <c r="C1" s="428" t="s">
        <v>245</v>
      </c>
      <c r="D1" s="100" t="s">
        <v>246</v>
      </c>
      <c r="E1" s="101" t="s">
        <v>247</v>
      </c>
      <c r="F1" s="102" t="s">
        <v>1631</v>
      </c>
      <c r="G1" s="443" t="s">
        <v>1626</v>
      </c>
      <c r="H1" s="102" t="s">
        <v>1637</v>
      </c>
      <c r="I1" s="100" t="s">
        <v>248</v>
      </c>
      <c r="J1" s="103" t="s">
        <v>249</v>
      </c>
      <c r="K1" s="105" t="s">
        <v>250</v>
      </c>
      <c r="L1" s="104" t="s">
        <v>251</v>
      </c>
      <c r="M1" s="105" t="s">
        <v>201</v>
      </c>
      <c r="N1" s="106" t="s">
        <v>252</v>
      </c>
      <c r="O1" s="106" t="s">
        <v>253</v>
      </c>
      <c r="P1" s="439" t="s">
        <v>1725</v>
      </c>
      <c r="Q1" s="103" t="s">
        <v>255</v>
      </c>
      <c r="R1" s="107" t="s">
        <v>256</v>
      </c>
      <c r="S1" s="103" t="s">
        <v>257</v>
      </c>
      <c r="T1" s="108" t="s">
        <v>258</v>
      </c>
      <c r="U1" s="109" t="s">
        <v>259</v>
      </c>
      <c r="V1" s="110" t="s">
        <v>260</v>
      </c>
      <c r="W1" s="111"/>
    </row>
    <row r="2" spans="1:23" ht="15" customHeight="1">
      <c r="A2" s="478" t="s">
        <v>16</v>
      </c>
      <c r="B2" s="440">
        <v>309</v>
      </c>
      <c r="C2" s="429">
        <f>VLOOKUP(B2,'Data pick slip'!B:F,5,FALSE)</f>
        <v>0</v>
      </c>
      <c r="D2" s="169" t="s">
        <v>1757</v>
      </c>
      <c r="E2" s="169" t="s">
        <v>1757</v>
      </c>
      <c r="F2" s="170" t="s">
        <v>1632</v>
      </c>
      <c r="G2" s="146" t="s">
        <v>1629</v>
      </c>
      <c r="H2" s="173" t="s">
        <v>73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8" t="s">
        <v>16</v>
      </c>
      <c r="B3" s="440">
        <v>311</v>
      </c>
      <c r="C3" s="429" t="str">
        <f>VLOOKUP(B3,'Data pick slip'!B:F,5,FALSE)</f>
        <v>KHY-M7710-A4</v>
      </c>
      <c r="D3" s="169" t="s">
        <v>1757</v>
      </c>
      <c r="E3" s="169" t="s">
        <v>1757</v>
      </c>
      <c r="F3" s="170" t="s">
        <v>1632</v>
      </c>
      <c r="G3" s="146" t="s">
        <v>1629</v>
      </c>
      <c r="H3" s="173" t="s">
        <v>73</v>
      </c>
      <c r="I3" s="171">
        <v>325</v>
      </c>
      <c r="J3" s="407"/>
      <c r="K3" s="408"/>
      <c r="L3" s="409"/>
      <c r="M3" s="164"/>
      <c r="N3" s="410"/>
      <c r="O3" s="411"/>
      <c r="P3" s="412"/>
      <c r="Q3" s="412"/>
      <c r="R3" s="410"/>
      <c r="S3" s="413"/>
      <c r="T3" s="414"/>
      <c r="U3" s="415"/>
      <c r="V3" s="416"/>
      <c r="W3" s="145"/>
    </row>
    <row r="4" spans="1:23" ht="16.5" customHeight="1">
      <c r="A4" s="478" t="s">
        <v>16</v>
      </c>
      <c r="B4" s="440">
        <v>312</v>
      </c>
      <c r="C4" s="429" t="str">
        <f>VLOOKUP(B4,'Data pick slip'!B:F,5,FALSE)</f>
        <v>KHY-M7720-A3</v>
      </c>
      <c r="D4" s="169" t="s">
        <v>1757</v>
      </c>
      <c r="E4" s="169" t="s">
        <v>1757</v>
      </c>
      <c r="F4" s="170" t="s">
        <v>1632</v>
      </c>
      <c r="G4" s="146" t="s">
        <v>1629</v>
      </c>
      <c r="H4" s="173" t="s">
        <v>73</v>
      </c>
      <c r="I4" s="171">
        <v>148</v>
      </c>
      <c r="J4" s="407"/>
      <c r="K4" s="408"/>
      <c r="L4" s="409"/>
      <c r="M4" s="164"/>
      <c r="N4" s="410"/>
      <c r="O4" s="411"/>
      <c r="P4" s="412"/>
      <c r="Q4" s="412"/>
      <c r="R4" s="410"/>
      <c r="S4" s="413"/>
      <c r="T4" s="414"/>
      <c r="U4" s="415"/>
      <c r="V4" s="416"/>
      <c r="W4" s="145"/>
    </row>
    <row r="5" spans="1:23" ht="16.5" customHeight="1">
      <c r="A5" s="478" t="s">
        <v>16</v>
      </c>
      <c r="B5" s="440">
        <v>313</v>
      </c>
      <c r="C5" s="429" t="str">
        <f>VLOOKUP(B5,'Data pick slip'!B:F,5,FALSE)</f>
        <v>KHY-M7730-A2</v>
      </c>
      <c r="D5" s="169" t="s">
        <v>1757</v>
      </c>
      <c r="E5" s="169" t="s">
        <v>1757</v>
      </c>
      <c r="F5" s="170" t="s">
        <v>1632</v>
      </c>
      <c r="G5" s="146" t="s">
        <v>1629</v>
      </c>
      <c r="H5" s="173" t="s">
        <v>73</v>
      </c>
      <c r="I5" s="171">
        <v>151</v>
      </c>
      <c r="J5" s="407"/>
      <c r="K5" s="408"/>
      <c r="L5" s="409"/>
      <c r="M5" s="164"/>
      <c r="N5" s="410"/>
      <c r="O5" s="411"/>
      <c r="P5" s="412"/>
      <c r="Q5" s="412"/>
      <c r="R5" s="410"/>
      <c r="S5" s="413"/>
      <c r="T5" s="414"/>
      <c r="U5" s="415"/>
      <c r="V5" s="416"/>
      <c r="W5" s="145"/>
    </row>
    <row r="6" spans="1:23" ht="16.5" customHeight="1">
      <c r="A6" s="478" t="s">
        <v>16</v>
      </c>
      <c r="B6" s="440">
        <v>303</v>
      </c>
      <c r="C6" s="429" t="str">
        <f>VLOOKUP(B6,'Data pick slip'!B:F,5,FALSE)</f>
        <v>KHY-M7740-A0</v>
      </c>
      <c r="D6" s="169" t="s">
        <v>1757</v>
      </c>
      <c r="E6" s="169" t="s">
        <v>1757</v>
      </c>
      <c r="F6" s="170" t="s">
        <v>1632</v>
      </c>
      <c r="G6" s="146" t="s">
        <v>1629</v>
      </c>
      <c r="H6" s="173" t="s">
        <v>73</v>
      </c>
      <c r="I6" s="171">
        <v>20</v>
      </c>
      <c r="J6" s="407"/>
      <c r="K6" s="408"/>
      <c r="L6" s="409"/>
      <c r="M6" s="164"/>
      <c r="N6" s="410"/>
      <c r="O6" s="411"/>
      <c r="P6" s="412"/>
      <c r="Q6" s="412"/>
      <c r="R6" s="410"/>
      <c r="S6" s="413"/>
      <c r="T6" s="414"/>
      <c r="U6" s="415"/>
      <c r="V6" s="416"/>
      <c r="W6" s="145"/>
    </row>
    <row r="7" spans="1:23" ht="16.5" customHeight="1">
      <c r="A7" s="478" t="s">
        <v>16</v>
      </c>
      <c r="B7" s="440">
        <v>304</v>
      </c>
      <c r="C7" s="429" t="str">
        <f>VLOOKUP(B7,'Data pick slip'!B:F,5,FALSE)</f>
        <v>KHY-M7750-A0</v>
      </c>
      <c r="D7" s="169" t="s">
        <v>1757</v>
      </c>
      <c r="E7" s="169" t="s">
        <v>1757</v>
      </c>
      <c r="F7" s="170" t="s">
        <v>1632</v>
      </c>
      <c r="G7" s="146" t="s">
        <v>1629</v>
      </c>
      <c r="H7" s="173" t="s">
        <v>73</v>
      </c>
      <c r="I7" s="171">
        <v>211</v>
      </c>
      <c r="J7" s="407"/>
      <c r="K7" s="408"/>
      <c r="L7" s="409"/>
      <c r="M7" s="164"/>
      <c r="N7" s="410"/>
      <c r="O7" s="411"/>
      <c r="P7" s="412"/>
      <c r="Q7" s="412"/>
      <c r="R7" s="410"/>
      <c r="S7" s="413"/>
      <c r="T7" s="414"/>
      <c r="U7" s="415"/>
      <c r="V7" s="416"/>
      <c r="W7" s="145"/>
    </row>
    <row r="8" spans="1:23" ht="16.5" customHeight="1">
      <c r="A8" s="478" t="s">
        <v>16</v>
      </c>
      <c r="B8" s="440">
        <v>305</v>
      </c>
      <c r="C8" s="429" t="str">
        <f>VLOOKUP(B8,'Data pick slip'!B:F,5,FALSE)</f>
        <v>KHY-M7760-A0</v>
      </c>
      <c r="D8" s="169" t="s">
        <v>1757</v>
      </c>
      <c r="E8" s="169" t="s">
        <v>1757</v>
      </c>
      <c r="F8" s="170" t="s">
        <v>1632</v>
      </c>
      <c r="G8" s="146" t="s">
        <v>1629</v>
      </c>
      <c r="H8" s="173" t="s">
        <v>73</v>
      </c>
      <c r="I8" s="171">
        <v>7</v>
      </c>
      <c r="J8" s="407"/>
      <c r="K8" s="408"/>
      <c r="L8" s="409"/>
      <c r="M8" s="164"/>
      <c r="N8" s="410"/>
      <c r="O8" s="411"/>
      <c r="P8" s="412"/>
      <c r="Q8" s="412"/>
      <c r="R8" s="410"/>
      <c r="S8" s="413"/>
      <c r="T8" s="414"/>
      <c r="U8" s="415"/>
      <c r="V8" s="416"/>
      <c r="W8" s="145"/>
    </row>
    <row r="9" spans="1:23" ht="16.5" customHeight="1">
      <c r="A9" s="478" t="s">
        <v>16</v>
      </c>
      <c r="B9" s="440">
        <v>310</v>
      </c>
      <c r="C9" s="429" t="str">
        <f>VLOOKUP(B9,'Data pick slip'!B:F,5,FALSE)</f>
        <v>KHY-M77A0-A0</v>
      </c>
      <c r="D9" s="169" t="s">
        <v>1757</v>
      </c>
      <c r="E9" s="169" t="s">
        <v>1757</v>
      </c>
      <c r="F9" s="170" t="s">
        <v>1632</v>
      </c>
      <c r="G9" s="146" t="s">
        <v>1629</v>
      </c>
      <c r="H9" s="173" t="s">
        <v>73</v>
      </c>
      <c r="I9" s="171">
        <v>240</v>
      </c>
      <c r="J9" s="407"/>
      <c r="K9" s="408"/>
      <c r="L9" s="409"/>
      <c r="M9" s="164"/>
      <c r="N9" s="410"/>
      <c r="O9" s="411"/>
      <c r="P9" s="412"/>
      <c r="Q9" s="412"/>
      <c r="R9" s="410"/>
      <c r="S9" s="413"/>
      <c r="T9" s="414"/>
      <c r="U9" s="415"/>
      <c r="V9" s="416"/>
      <c r="W9" s="145"/>
    </row>
    <row r="10" spans="1:23" ht="16.5" customHeight="1">
      <c r="A10" s="478" t="s">
        <v>16</v>
      </c>
      <c r="B10" s="440">
        <v>301</v>
      </c>
      <c r="C10" s="429" t="str">
        <f>VLOOKUP(B10,'Data pick slip'!B:F,5,FALSE)</f>
        <v>KHN-M7710-A4</v>
      </c>
      <c r="D10" s="169" t="s">
        <v>1757</v>
      </c>
      <c r="E10" s="169" t="s">
        <v>1757</v>
      </c>
      <c r="F10" s="170" t="s">
        <v>1632</v>
      </c>
      <c r="G10" s="146" t="s">
        <v>1627</v>
      </c>
      <c r="H10" s="173" t="s">
        <v>73</v>
      </c>
      <c r="I10" s="171">
        <v>30</v>
      </c>
      <c r="J10" s="407"/>
      <c r="K10" s="408"/>
      <c r="L10" s="409"/>
      <c r="M10" s="164"/>
      <c r="N10" s="410"/>
      <c r="O10" s="411"/>
      <c r="P10" s="412"/>
      <c r="Q10" s="412"/>
      <c r="R10" s="410"/>
      <c r="S10" s="413"/>
      <c r="T10" s="414"/>
      <c r="U10" s="415"/>
      <c r="V10" s="416"/>
      <c r="W10" s="145"/>
    </row>
    <row r="11" spans="1:23" ht="16.5" customHeight="1">
      <c r="A11" s="478" t="s">
        <v>212</v>
      </c>
      <c r="B11" s="440">
        <v>301</v>
      </c>
      <c r="C11" s="429" t="str">
        <f>VLOOKUP(B11,'Data pick slip'!B:F,5,FALSE)</f>
        <v>KHN-M7710-A4</v>
      </c>
      <c r="D11" s="169" t="s">
        <v>1757</v>
      </c>
      <c r="E11" s="169" t="s">
        <v>1757</v>
      </c>
      <c r="F11" s="170" t="s">
        <v>1647</v>
      </c>
      <c r="G11" s="146" t="s">
        <v>1629</v>
      </c>
      <c r="H11" s="173" t="s">
        <v>73</v>
      </c>
      <c r="I11" s="171">
        <v>150</v>
      </c>
      <c r="J11" s="407"/>
      <c r="K11" s="408"/>
      <c r="L11" s="409"/>
      <c r="M11" s="164"/>
      <c r="N11" s="410"/>
      <c r="O11" s="411"/>
      <c r="P11" s="412"/>
      <c r="Q11" s="412"/>
      <c r="R11" s="410"/>
      <c r="S11" s="413"/>
      <c r="T11" s="414"/>
      <c r="U11" s="415"/>
      <c r="V11" s="416"/>
      <c r="W11" s="145"/>
    </row>
    <row r="12" spans="1:23" ht="16.5" customHeight="1">
      <c r="A12" s="478" t="s">
        <v>212</v>
      </c>
      <c r="B12" s="440">
        <v>302</v>
      </c>
      <c r="C12" s="429" t="str">
        <f>VLOOKUP(B12,'Data pick slip'!B:F,5,FALSE)</f>
        <v>KHN-M7720-A3</v>
      </c>
      <c r="D12" s="169" t="s">
        <v>1757</v>
      </c>
      <c r="E12" s="169" t="s">
        <v>1757</v>
      </c>
      <c r="F12" s="170" t="s">
        <v>1647</v>
      </c>
      <c r="G12" s="146" t="s">
        <v>1629</v>
      </c>
      <c r="H12" s="173" t="s">
        <v>73</v>
      </c>
      <c r="I12" s="171">
        <v>203</v>
      </c>
      <c r="J12" s="407"/>
      <c r="K12" s="408"/>
      <c r="L12" s="409"/>
      <c r="M12" s="164"/>
      <c r="N12" s="410"/>
      <c r="O12" s="411"/>
      <c r="P12" s="412"/>
      <c r="Q12" s="412"/>
      <c r="R12" s="410"/>
      <c r="S12" s="413"/>
      <c r="T12" s="414"/>
      <c r="U12" s="415"/>
      <c r="V12" s="416"/>
      <c r="W12" s="145"/>
    </row>
    <row r="13" spans="1:23" ht="15" customHeight="1">
      <c r="A13" s="478" t="s">
        <v>16</v>
      </c>
      <c r="B13" s="440">
        <v>309</v>
      </c>
      <c r="C13" s="429">
        <f>VLOOKUP(B13,'Data pick slip'!B:F,5,FALSE)</f>
        <v>0</v>
      </c>
      <c r="D13" s="169" t="s">
        <v>1757</v>
      </c>
      <c r="E13" s="169" t="s">
        <v>1757</v>
      </c>
      <c r="F13" s="170" t="s">
        <v>1647</v>
      </c>
      <c r="G13" s="146" t="s">
        <v>1629</v>
      </c>
      <c r="H13" s="173" t="s">
        <v>73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8" t="s">
        <v>16</v>
      </c>
      <c r="B14" s="440">
        <v>311</v>
      </c>
      <c r="C14" s="429" t="str">
        <f>VLOOKUP(B14,'Data pick slip'!B:F,5,FALSE)</f>
        <v>KHY-M7710-A4</v>
      </c>
      <c r="D14" s="169" t="s">
        <v>1757</v>
      </c>
      <c r="E14" s="169" t="s">
        <v>1757</v>
      </c>
      <c r="F14" s="170" t="s">
        <v>1647</v>
      </c>
      <c r="G14" s="146" t="s">
        <v>1629</v>
      </c>
      <c r="H14" s="173" t="s">
        <v>73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8" t="s">
        <v>16</v>
      </c>
      <c r="B15" s="440">
        <v>312</v>
      </c>
      <c r="C15" s="429" t="str">
        <f>VLOOKUP(B15,'Data pick slip'!B:F,5,FALSE)</f>
        <v>KHY-M7720-A3</v>
      </c>
      <c r="D15" s="169" t="s">
        <v>1757</v>
      </c>
      <c r="E15" s="169" t="s">
        <v>1757</v>
      </c>
      <c r="F15" s="170" t="s">
        <v>1647</v>
      </c>
      <c r="G15" s="146" t="s">
        <v>1629</v>
      </c>
      <c r="H15" s="173" t="s">
        <v>73</v>
      </c>
      <c r="I15" s="171">
        <v>173</v>
      </c>
      <c r="J15" s="407"/>
      <c r="K15" s="408"/>
      <c r="L15" s="409"/>
      <c r="M15" s="164"/>
      <c r="N15" s="410"/>
      <c r="O15" s="411"/>
      <c r="P15" s="412"/>
      <c r="Q15" s="412"/>
      <c r="R15" s="410"/>
      <c r="S15" s="413"/>
      <c r="T15" s="414"/>
      <c r="U15" s="415"/>
      <c r="V15" s="416"/>
      <c r="W15" s="145"/>
    </row>
    <row r="16" spans="1:23" ht="16.5" customHeight="1">
      <c r="A16" s="478" t="s">
        <v>16</v>
      </c>
      <c r="B16" s="440">
        <v>303</v>
      </c>
      <c r="C16" s="429" t="str">
        <f>VLOOKUP(B16,'Data pick slip'!B:F,5,FALSE)</f>
        <v>KHY-M7740-A0</v>
      </c>
      <c r="D16" s="169" t="s">
        <v>1757</v>
      </c>
      <c r="E16" s="169" t="s">
        <v>1757</v>
      </c>
      <c r="F16" s="170" t="s">
        <v>1647</v>
      </c>
      <c r="G16" s="146" t="s">
        <v>1629</v>
      </c>
      <c r="H16" s="173" t="s">
        <v>73</v>
      </c>
      <c r="I16" s="171">
        <v>31</v>
      </c>
      <c r="J16" s="407"/>
      <c r="K16" s="408"/>
      <c r="L16" s="409"/>
      <c r="M16" s="164"/>
      <c r="N16" s="410"/>
      <c r="O16" s="411"/>
      <c r="P16" s="412"/>
      <c r="Q16" s="412"/>
      <c r="R16" s="410"/>
      <c r="S16" s="413"/>
      <c r="T16" s="414"/>
      <c r="U16" s="415"/>
      <c r="V16" s="416"/>
      <c r="W16" s="145"/>
    </row>
    <row r="17" spans="1:23" ht="15" customHeight="1">
      <c r="A17" s="478" t="s">
        <v>16</v>
      </c>
      <c r="B17" s="440">
        <v>304</v>
      </c>
      <c r="C17" s="429" t="str">
        <f>VLOOKUP(B17,'Data pick slip'!B:F,5,FALSE)</f>
        <v>KHY-M7750-A0</v>
      </c>
      <c r="D17" s="169" t="s">
        <v>1757</v>
      </c>
      <c r="E17" s="169" t="s">
        <v>1757</v>
      </c>
      <c r="F17" s="170" t="s">
        <v>1647</v>
      </c>
      <c r="G17" s="146" t="s">
        <v>1629</v>
      </c>
      <c r="H17" s="173" t="s">
        <v>73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8" t="s">
        <v>16</v>
      </c>
      <c r="B18" s="440">
        <v>305</v>
      </c>
      <c r="C18" s="429" t="str">
        <f>VLOOKUP(B18,'Data pick slip'!B:F,5,FALSE)</f>
        <v>KHY-M7760-A0</v>
      </c>
      <c r="D18" s="169" t="s">
        <v>1757</v>
      </c>
      <c r="E18" s="169" t="s">
        <v>1757</v>
      </c>
      <c r="F18" s="170" t="s">
        <v>1647</v>
      </c>
      <c r="G18" s="146" t="s">
        <v>1629</v>
      </c>
      <c r="H18" s="173" t="s">
        <v>73</v>
      </c>
      <c r="I18" s="171">
        <v>18</v>
      </c>
      <c r="J18" s="407"/>
      <c r="K18" s="408"/>
      <c r="L18" s="409"/>
      <c r="M18" s="164"/>
      <c r="N18" s="410"/>
      <c r="O18" s="411"/>
      <c r="P18" s="412"/>
      <c r="Q18" s="412"/>
      <c r="R18" s="410"/>
      <c r="S18" s="413"/>
      <c r="T18" s="414"/>
      <c r="U18" s="415"/>
      <c r="V18" s="416"/>
      <c r="W18" s="145"/>
    </row>
    <row r="19" spans="1:23" ht="15" customHeight="1">
      <c r="A19" s="478" t="s">
        <v>16</v>
      </c>
      <c r="B19" s="440">
        <v>306</v>
      </c>
      <c r="C19" s="429" t="str">
        <f>VLOOKUP(B19,'Data pick slip'!B:F,5,FALSE)</f>
        <v>KHY-M7770-A0</v>
      </c>
      <c r="D19" s="169" t="s">
        <v>1757</v>
      </c>
      <c r="E19" s="169" t="s">
        <v>1757</v>
      </c>
      <c r="F19" s="170" t="s">
        <v>1647</v>
      </c>
      <c r="G19" s="146" t="s">
        <v>1629</v>
      </c>
      <c r="H19" s="173" t="s">
        <v>73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8" t="s">
        <v>16</v>
      </c>
      <c r="B20" s="440">
        <v>307</v>
      </c>
      <c r="C20" s="429">
        <f>VLOOKUP(B20,'Data pick slip'!B:F,5,FALSE)</f>
        <v>0</v>
      </c>
      <c r="D20" s="169" t="s">
        <v>1757</v>
      </c>
      <c r="E20" s="169" t="s">
        <v>1757</v>
      </c>
      <c r="F20" s="170" t="s">
        <v>1647</v>
      </c>
      <c r="G20" s="146" t="s">
        <v>1629</v>
      </c>
      <c r="H20" s="173" t="s">
        <v>73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8" t="s">
        <v>16</v>
      </c>
      <c r="B21" s="440">
        <v>310</v>
      </c>
      <c r="C21" s="429" t="str">
        <f>VLOOKUP(B21,'Data pick slip'!B:F,5,FALSE)</f>
        <v>KHY-M77A0-A0</v>
      </c>
      <c r="D21" s="169" t="s">
        <v>1757</v>
      </c>
      <c r="E21" s="169" t="s">
        <v>1757</v>
      </c>
      <c r="F21" s="170" t="s">
        <v>1647</v>
      </c>
      <c r="G21" s="146" t="s">
        <v>1629</v>
      </c>
      <c r="H21" s="173" t="s">
        <v>73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8" t="s">
        <v>16</v>
      </c>
      <c r="B22" s="440">
        <v>7202</v>
      </c>
      <c r="C22" s="429">
        <f>VLOOKUP(B22,'Data pick slip'!B:F,5,FALSE)</f>
        <v>0</v>
      </c>
      <c r="D22" s="169" t="s">
        <v>1757</v>
      </c>
      <c r="E22" s="169" t="s">
        <v>1757</v>
      </c>
      <c r="F22" s="170" t="s">
        <v>1647</v>
      </c>
      <c r="G22" s="146" t="s">
        <v>1629</v>
      </c>
      <c r="H22" s="173" t="s">
        <v>73</v>
      </c>
      <c r="I22" s="171">
        <v>26</v>
      </c>
      <c r="J22" s="407"/>
      <c r="K22" s="408"/>
      <c r="L22" s="409"/>
      <c r="M22" s="164"/>
      <c r="N22" s="410"/>
      <c r="O22" s="411"/>
      <c r="P22" s="412"/>
      <c r="Q22" s="412"/>
      <c r="R22" s="410"/>
      <c r="S22" s="413"/>
      <c r="T22" s="414"/>
      <c r="U22" s="415"/>
      <c r="V22" s="416"/>
      <c r="W22" s="145"/>
    </row>
    <row r="23" spans="1:23" ht="16.5" customHeight="1">
      <c r="A23" s="478" t="s">
        <v>16</v>
      </c>
      <c r="B23" s="440">
        <v>7203</v>
      </c>
      <c r="C23" s="429">
        <f>VLOOKUP(B23,'Data pick slip'!B:F,5,FALSE)</f>
        <v>0</v>
      </c>
      <c r="D23" s="169" t="s">
        <v>1757</v>
      </c>
      <c r="E23" s="169" t="s">
        <v>1757</v>
      </c>
      <c r="F23" s="170" t="s">
        <v>1647</v>
      </c>
      <c r="G23" s="146" t="s">
        <v>1629</v>
      </c>
      <c r="H23" s="173" t="s">
        <v>73</v>
      </c>
      <c r="I23" s="171">
        <v>5</v>
      </c>
      <c r="J23" s="407"/>
      <c r="K23" s="408"/>
      <c r="L23" s="409"/>
      <c r="M23" s="164"/>
      <c r="N23" s="410"/>
      <c r="O23" s="411"/>
      <c r="P23" s="412"/>
      <c r="Q23" s="412"/>
      <c r="R23" s="410"/>
      <c r="S23" s="413"/>
      <c r="T23" s="414"/>
      <c r="U23" s="415"/>
      <c r="V23" s="416"/>
      <c r="W23" s="145"/>
    </row>
    <row r="24" spans="1:23" ht="15" customHeight="1">
      <c r="A24" s="478" t="s">
        <v>16</v>
      </c>
      <c r="B24" s="440">
        <v>7204</v>
      </c>
      <c r="C24" s="429">
        <f>VLOOKUP(B24,'Data pick slip'!B:F,5,FALSE)</f>
        <v>0</v>
      </c>
      <c r="D24" s="169" t="s">
        <v>1757</v>
      </c>
      <c r="E24" s="169" t="s">
        <v>1757</v>
      </c>
      <c r="F24" s="170" t="s">
        <v>1647</v>
      </c>
      <c r="G24" s="146" t="s">
        <v>1629</v>
      </c>
      <c r="H24" s="173" t="s">
        <v>73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8" t="s">
        <v>16</v>
      </c>
      <c r="B25" s="440">
        <v>7205</v>
      </c>
      <c r="C25" s="429">
        <f>VLOOKUP(B25,'Data pick slip'!B:F,5,FALSE)</f>
        <v>0</v>
      </c>
      <c r="D25" s="169" t="s">
        <v>1757</v>
      </c>
      <c r="E25" s="169" t="s">
        <v>1757</v>
      </c>
      <c r="F25" s="170" t="s">
        <v>1647</v>
      </c>
      <c r="G25" s="146" t="s">
        <v>1629</v>
      </c>
      <c r="H25" s="173" t="s">
        <v>73</v>
      </c>
      <c r="I25" s="171">
        <v>54</v>
      </c>
      <c r="J25" s="407"/>
      <c r="K25" s="408"/>
      <c r="L25" s="409"/>
      <c r="M25" s="164"/>
      <c r="N25" s="410"/>
      <c r="O25" s="411"/>
      <c r="P25" s="412"/>
      <c r="Q25" s="412"/>
      <c r="R25" s="410"/>
      <c r="S25" s="413"/>
      <c r="T25" s="414"/>
      <c r="U25" s="415"/>
      <c r="V25" s="416"/>
      <c r="W25" s="145"/>
    </row>
    <row r="26" spans="1:23" ht="16.5" customHeight="1">
      <c r="A26" s="478" t="s">
        <v>16</v>
      </c>
      <c r="B26" s="440">
        <v>7206</v>
      </c>
      <c r="C26" s="429">
        <f>VLOOKUP(B26,'Data pick slip'!B:F,5,FALSE)</f>
        <v>0</v>
      </c>
      <c r="D26" s="169" t="s">
        <v>1757</v>
      </c>
      <c r="E26" s="169" t="s">
        <v>1757</v>
      </c>
      <c r="F26" s="170" t="s">
        <v>1647</v>
      </c>
      <c r="G26" s="146" t="s">
        <v>1629</v>
      </c>
      <c r="H26" s="173" t="s">
        <v>73</v>
      </c>
      <c r="I26" s="171">
        <v>226</v>
      </c>
      <c r="J26" s="407"/>
      <c r="K26" s="408"/>
      <c r="L26" s="409"/>
      <c r="M26" s="164"/>
      <c r="N26" s="410"/>
      <c r="O26" s="411"/>
      <c r="P26" s="412"/>
      <c r="Q26" s="412"/>
      <c r="R26" s="410"/>
      <c r="S26" s="413"/>
      <c r="T26" s="414"/>
      <c r="U26" s="415"/>
      <c r="V26" s="416"/>
      <c r="W26" s="145"/>
    </row>
    <row r="27" spans="1:23" ht="16.5" customHeight="1">
      <c r="A27" s="478" t="s">
        <v>16</v>
      </c>
      <c r="B27" s="440" t="s">
        <v>1668</v>
      </c>
      <c r="C27" s="429">
        <f>VLOOKUP(B27,'Data pick slip'!B:F,5,FALSE)</f>
        <v>0</v>
      </c>
      <c r="D27" s="169" t="s">
        <v>1757</v>
      </c>
      <c r="E27" s="169" t="s">
        <v>1757</v>
      </c>
      <c r="F27" s="170" t="s">
        <v>1647</v>
      </c>
      <c r="G27" s="146" t="s">
        <v>1629</v>
      </c>
      <c r="H27" s="173" t="s">
        <v>73</v>
      </c>
      <c r="I27" s="171">
        <v>144</v>
      </c>
      <c r="J27" s="407"/>
      <c r="K27" s="408"/>
      <c r="L27" s="409"/>
      <c r="M27" s="164"/>
      <c r="N27" s="410"/>
      <c r="O27" s="411"/>
      <c r="P27" s="412"/>
      <c r="Q27" s="412"/>
      <c r="R27" s="410"/>
      <c r="S27" s="413"/>
      <c r="T27" s="414"/>
      <c r="U27" s="415"/>
      <c r="V27" s="416"/>
      <c r="W27" s="145"/>
    </row>
    <row r="28" spans="1:23" ht="16.5" customHeight="1">
      <c r="A28" s="478" t="s">
        <v>16</v>
      </c>
      <c r="B28" s="440" t="s">
        <v>1669</v>
      </c>
      <c r="C28" s="429">
        <f>VLOOKUP(B28,'Data pick slip'!B:F,5,FALSE)</f>
        <v>0</v>
      </c>
      <c r="D28" s="169" t="s">
        <v>1757</v>
      </c>
      <c r="E28" s="169" t="s">
        <v>1757</v>
      </c>
      <c r="F28" s="170" t="s">
        <v>1647</v>
      </c>
      <c r="G28" s="146" t="s">
        <v>1629</v>
      </c>
      <c r="H28" s="173" t="s">
        <v>73</v>
      </c>
      <c r="I28" s="171">
        <v>54</v>
      </c>
      <c r="J28" s="407"/>
      <c r="K28" s="408"/>
      <c r="L28" s="409"/>
      <c r="M28" s="164"/>
      <c r="N28" s="410"/>
      <c r="O28" s="411"/>
      <c r="P28" s="412"/>
      <c r="Q28" s="412"/>
      <c r="R28" s="410"/>
      <c r="S28" s="413"/>
      <c r="T28" s="414"/>
      <c r="U28" s="415"/>
      <c r="V28" s="416"/>
      <c r="W28" s="145"/>
    </row>
    <row r="29" spans="1:23" ht="15" customHeight="1">
      <c r="A29" s="478" t="s">
        <v>16</v>
      </c>
      <c r="B29" s="440">
        <v>301</v>
      </c>
      <c r="C29" s="429" t="str">
        <f>VLOOKUP(B29,'Data pick slip'!B:F,5,FALSE)</f>
        <v>KHN-M7710-A4</v>
      </c>
      <c r="D29" s="169" t="s">
        <v>1757</v>
      </c>
      <c r="E29" s="169" t="s">
        <v>1757</v>
      </c>
      <c r="F29" s="170" t="s">
        <v>1647</v>
      </c>
      <c r="G29" s="146" t="s">
        <v>1627</v>
      </c>
      <c r="H29" s="173" t="s">
        <v>73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8" t="s">
        <v>16</v>
      </c>
      <c r="B30" s="440">
        <v>302</v>
      </c>
      <c r="C30" s="429" t="str">
        <f>VLOOKUP(B30,'Data pick slip'!B:F,5,FALSE)</f>
        <v>KHN-M7720-A3</v>
      </c>
      <c r="D30" s="169" t="s">
        <v>1757</v>
      </c>
      <c r="E30" s="169" t="s">
        <v>1757</v>
      </c>
      <c r="F30" s="170" t="s">
        <v>1647</v>
      </c>
      <c r="G30" s="146" t="s">
        <v>1627</v>
      </c>
      <c r="H30" s="173" t="s">
        <v>73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8" t="s">
        <v>16</v>
      </c>
      <c r="B31" s="440">
        <v>313</v>
      </c>
      <c r="C31" s="429" t="str">
        <f>VLOOKUP(B31,'Data pick slip'!B:F,5,FALSE)</f>
        <v>KHY-M7730-A2</v>
      </c>
      <c r="D31" s="169" t="s">
        <v>1757</v>
      </c>
      <c r="E31" s="169" t="s">
        <v>1757</v>
      </c>
      <c r="F31" s="170" t="s">
        <v>1647</v>
      </c>
      <c r="G31" s="146" t="s">
        <v>1627</v>
      </c>
      <c r="H31" s="173" t="s">
        <v>73</v>
      </c>
      <c r="I31" s="171">
        <v>30</v>
      </c>
      <c r="J31" s="407"/>
      <c r="K31" s="408"/>
      <c r="L31" s="409"/>
      <c r="M31" s="164"/>
      <c r="N31" s="410"/>
      <c r="O31" s="411"/>
      <c r="P31" s="412"/>
      <c r="Q31" s="412"/>
      <c r="R31" s="410"/>
      <c r="S31" s="413"/>
      <c r="T31" s="414"/>
      <c r="U31" s="415"/>
      <c r="V31" s="416"/>
      <c r="W31" s="145"/>
    </row>
    <row r="32" spans="1:23" ht="16.5" customHeight="1">
      <c r="A32" s="478" t="s">
        <v>16</v>
      </c>
      <c r="B32" s="440">
        <v>303</v>
      </c>
      <c r="C32" s="429" t="str">
        <f>VLOOKUP(B32,'Data pick slip'!B:F,5,FALSE)</f>
        <v>KHY-M7740-A0</v>
      </c>
      <c r="D32" s="169" t="s">
        <v>1757</v>
      </c>
      <c r="E32" s="169" t="s">
        <v>1757</v>
      </c>
      <c r="F32" s="170" t="s">
        <v>1647</v>
      </c>
      <c r="G32" s="146" t="s">
        <v>1627</v>
      </c>
      <c r="H32" s="173" t="s">
        <v>73</v>
      </c>
      <c r="I32" s="171">
        <v>50</v>
      </c>
      <c r="J32" s="407"/>
      <c r="K32" s="408"/>
      <c r="L32" s="409"/>
      <c r="M32" s="164"/>
      <c r="N32" s="410"/>
      <c r="O32" s="411"/>
      <c r="P32" s="412"/>
      <c r="Q32" s="412"/>
      <c r="R32" s="410"/>
      <c r="S32" s="413"/>
      <c r="T32" s="414"/>
      <c r="U32" s="415"/>
      <c r="V32" s="416"/>
      <c r="W32" s="145"/>
    </row>
    <row r="33" spans="1:23" ht="15" customHeight="1">
      <c r="A33" s="478" t="s">
        <v>16</v>
      </c>
      <c r="B33" s="440">
        <v>303</v>
      </c>
      <c r="C33" s="429" t="str">
        <f>VLOOKUP(B33,'Data pick slip'!B:F,5,FALSE)</f>
        <v>KHY-M7740-A0</v>
      </c>
      <c r="D33" s="169">
        <v>111421</v>
      </c>
      <c r="E33" s="282">
        <f>VLOOKUP(D33,Stock_list!D:L,9,FALSE)</f>
        <v>45261</v>
      </c>
      <c r="F33" s="170" t="s">
        <v>1647</v>
      </c>
      <c r="G33" s="146" t="s">
        <v>1627</v>
      </c>
      <c r="H33" s="173" t="s">
        <v>73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8" t="s">
        <v>16</v>
      </c>
      <c r="B34" s="440">
        <v>301</v>
      </c>
      <c r="C34" s="429" t="str">
        <f>VLOOKUP(B34,'Data pick slip'!B:F,5,FALSE)</f>
        <v>KHN-M7710-A4</v>
      </c>
      <c r="D34" s="169">
        <v>111421</v>
      </c>
      <c r="E34" s="282">
        <f>VLOOKUP(D34,Stock_list!D:L,9,FALSE)</f>
        <v>45261</v>
      </c>
      <c r="F34" s="170" t="s">
        <v>1647</v>
      </c>
      <c r="G34" s="146" t="s">
        <v>1627</v>
      </c>
      <c r="H34" s="173" t="s">
        <v>73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8" t="s">
        <v>16</v>
      </c>
      <c r="B35" s="440">
        <v>302</v>
      </c>
      <c r="C35" s="429" t="str">
        <f>VLOOKUP(B35,'Data pick slip'!B:F,5,FALSE)</f>
        <v>KHN-M7720-A3</v>
      </c>
      <c r="D35" s="169">
        <v>111421</v>
      </c>
      <c r="E35" s="282">
        <f>VLOOKUP(D35,Stock_list!D:L,9,FALSE)</f>
        <v>45261</v>
      </c>
      <c r="F35" s="170" t="s">
        <v>1647</v>
      </c>
      <c r="G35" s="146" t="s">
        <v>1627</v>
      </c>
      <c r="H35" s="173" t="s">
        <v>73</v>
      </c>
      <c r="I35" s="171">
        <v>20</v>
      </c>
      <c r="J35" s="407"/>
      <c r="K35" s="408"/>
      <c r="L35" s="409"/>
      <c r="M35" s="164"/>
      <c r="N35" s="410"/>
      <c r="O35" s="411"/>
      <c r="P35" s="412"/>
      <c r="Q35" s="412"/>
      <c r="R35" s="410"/>
      <c r="S35" s="413"/>
      <c r="T35" s="414"/>
      <c r="U35" s="415"/>
      <c r="V35" s="416"/>
      <c r="W35" s="145"/>
    </row>
    <row r="36" spans="1:23" ht="15" customHeight="1">
      <c r="A36" s="478" t="s">
        <v>16</v>
      </c>
      <c r="B36" s="440">
        <v>301</v>
      </c>
      <c r="C36" s="429" t="str">
        <f>VLOOKUP(B36,'Data pick slip'!B:F,5,FALSE)</f>
        <v>KHN-M7710-A4</v>
      </c>
      <c r="D36" s="169">
        <v>111452</v>
      </c>
      <c r="E36" s="282" t="e">
        <f>VLOOKUP(D36,Stock_list!D:L,9,FALSE)</f>
        <v>#N/A</v>
      </c>
      <c r="F36" s="170" t="s">
        <v>1647</v>
      </c>
      <c r="G36" s="146" t="s">
        <v>1627</v>
      </c>
      <c r="H36" s="173" t="s">
        <v>73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8" t="s">
        <v>16</v>
      </c>
      <c r="B37" s="440">
        <v>311</v>
      </c>
      <c r="C37" s="429" t="str">
        <f>VLOOKUP(B37,'Data pick slip'!B:F,5,FALSE)</f>
        <v>KHY-M7710-A4</v>
      </c>
      <c r="D37" s="169">
        <v>111464</v>
      </c>
      <c r="E37" s="282">
        <f>VLOOKUP(D37,Stock_list!D:L,9,FALSE)</f>
        <v>45296</v>
      </c>
      <c r="F37" s="170" t="s">
        <v>1647</v>
      </c>
      <c r="G37" s="146" t="s">
        <v>1627</v>
      </c>
      <c r="H37" s="173" t="s">
        <v>73</v>
      </c>
      <c r="I37" s="171">
        <v>40</v>
      </c>
      <c r="J37" s="172"/>
      <c r="K37" s="542" t="e">
        <f>VLOOKUP(J37,Stock_list!A:R,18,FALSE)</f>
        <v>#N/A</v>
      </c>
      <c r="L37" s="543" t="e">
        <f>VLOOKUP(J37,Stock_list!A:S,17,FALSE)</f>
        <v>#N/A</v>
      </c>
      <c r="M37" s="542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8" t="s">
        <v>16</v>
      </c>
      <c r="B38" s="440">
        <v>301</v>
      </c>
      <c r="C38" s="429" t="str">
        <f>VLOOKUP(B38,'Data pick slip'!B:F,5,FALSE)</f>
        <v>KHN-M7710-A4</v>
      </c>
      <c r="D38" s="169">
        <v>111464</v>
      </c>
      <c r="E38" s="282">
        <f>VLOOKUP(D38,Stock_list!D:L,9,FALSE)</f>
        <v>45296</v>
      </c>
      <c r="F38" s="170" t="s">
        <v>1647</v>
      </c>
      <c r="G38" s="146" t="s">
        <v>1627</v>
      </c>
      <c r="H38" s="173" t="s">
        <v>73</v>
      </c>
      <c r="I38" s="171">
        <v>10</v>
      </c>
      <c r="J38" s="172"/>
      <c r="K38" s="542" t="e">
        <f>VLOOKUP(J38,Stock_list!A:R,18,FALSE)</f>
        <v>#N/A</v>
      </c>
      <c r="L38" s="543" t="e">
        <f>VLOOKUP(J38,Stock_list!A:S,17,FALSE)</f>
        <v>#N/A</v>
      </c>
      <c r="M38" s="542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8" t="s">
        <v>16</v>
      </c>
      <c r="B39" s="440">
        <v>302</v>
      </c>
      <c r="C39" s="429" t="str">
        <f>VLOOKUP(B39,'Data pick slip'!B:F,5,FALSE)</f>
        <v>KHN-M7720-A3</v>
      </c>
      <c r="D39" s="169">
        <v>111464</v>
      </c>
      <c r="E39" s="282">
        <f>VLOOKUP(D39,Stock_list!D:L,9,FALSE)</f>
        <v>45296</v>
      </c>
      <c r="F39" s="170" t="s">
        <v>1647</v>
      </c>
      <c r="G39" s="146" t="s">
        <v>1627</v>
      </c>
      <c r="H39" s="173" t="s">
        <v>73</v>
      </c>
      <c r="I39" s="171">
        <v>15</v>
      </c>
      <c r="J39" s="172"/>
      <c r="K39" s="542" t="e">
        <f>VLOOKUP(J39,Stock_list!A:R,18,FALSE)</f>
        <v>#N/A</v>
      </c>
      <c r="L39" s="543" t="e">
        <f>VLOOKUP(J39,Stock_list!A:S,17,FALSE)</f>
        <v>#N/A</v>
      </c>
      <c r="M39" s="542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8" t="s">
        <v>16</v>
      </c>
      <c r="B40" s="440">
        <v>303</v>
      </c>
      <c r="C40" s="429" t="str">
        <f>VLOOKUP(B40,'Data pick slip'!B:F,5,FALSE)</f>
        <v>KHY-M7740-A0</v>
      </c>
      <c r="D40" s="169">
        <v>111464</v>
      </c>
      <c r="E40" s="282">
        <f>VLOOKUP(D40,Stock_list!D:L,9,FALSE)</f>
        <v>45296</v>
      </c>
      <c r="F40" s="170" t="s">
        <v>1647</v>
      </c>
      <c r="G40" s="146" t="s">
        <v>1627</v>
      </c>
      <c r="H40" s="173" t="s">
        <v>73</v>
      </c>
      <c r="I40" s="171">
        <v>15</v>
      </c>
      <c r="J40" s="172"/>
      <c r="K40" s="542" t="e">
        <f>VLOOKUP(J40,Stock_list!A:R,18,FALSE)</f>
        <v>#N/A</v>
      </c>
      <c r="L40" s="543" t="e">
        <f>VLOOKUP(J40,Stock_list!A:S,17,FALSE)</f>
        <v>#N/A</v>
      </c>
      <c r="M40" s="542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8" t="s">
        <v>16</v>
      </c>
      <c r="B41" s="440">
        <v>301</v>
      </c>
      <c r="C41" s="429" t="str">
        <f>VLOOKUP(B41,'Data pick slip'!B:F,5,FALSE)</f>
        <v>KHN-M7710-A4</v>
      </c>
      <c r="D41" s="169">
        <v>111465</v>
      </c>
      <c r="E41" s="282">
        <f>VLOOKUP(D41,Stock_list!D:L,9,FALSE)</f>
        <v>45296</v>
      </c>
      <c r="F41" s="170" t="s">
        <v>1647</v>
      </c>
      <c r="G41" s="146" t="s">
        <v>1627</v>
      </c>
      <c r="H41" s="173" t="s">
        <v>73</v>
      </c>
      <c r="I41" s="171">
        <v>40</v>
      </c>
      <c r="J41" s="172"/>
      <c r="K41" s="542" t="e">
        <f>VLOOKUP(J41,Stock_list!A:R,18,FALSE)</f>
        <v>#N/A</v>
      </c>
      <c r="L41" s="543" t="e">
        <f>VLOOKUP(J41,Stock_list!A:S,17,FALSE)</f>
        <v>#N/A</v>
      </c>
      <c r="M41" s="542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8" t="s">
        <v>16</v>
      </c>
      <c r="B42" s="440">
        <v>301</v>
      </c>
      <c r="C42" s="429" t="str">
        <f>VLOOKUP(B42,'Data pick slip'!B:F,5,FALSE)</f>
        <v>KHN-M7710-A4</v>
      </c>
      <c r="D42" s="169">
        <v>111482</v>
      </c>
      <c r="E42" s="282">
        <f>VLOOKUP(D42,Stock_list!D:L,9,FALSE)</f>
        <v>45345</v>
      </c>
      <c r="F42" s="170" t="s">
        <v>1647</v>
      </c>
      <c r="G42" s="146" t="s">
        <v>1627</v>
      </c>
      <c r="H42" s="173" t="s">
        <v>279</v>
      </c>
      <c r="I42" s="171">
        <v>20</v>
      </c>
      <c r="J42" s="172"/>
      <c r="K42" s="542" t="e">
        <f>VLOOKUP(J42,Stock_list!A:R,18,FALSE)</f>
        <v>#N/A</v>
      </c>
      <c r="L42" s="543" t="e">
        <f>VLOOKUP(J42,Stock_list!A:S,17,FALSE)</f>
        <v>#N/A</v>
      </c>
      <c r="M42" s="542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8" t="s">
        <v>16</v>
      </c>
      <c r="B43" s="440">
        <v>301</v>
      </c>
      <c r="C43" s="429" t="str">
        <f>VLOOKUP(B43,'Data pick slip'!B:F,5,FALSE)</f>
        <v>KHN-M7710-A4</v>
      </c>
      <c r="D43" s="169">
        <v>111501</v>
      </c>
      <c r="E43" s="282" t="e">
        <f>VLOOKUP(D43,Stock_list!D:L,9,FALSE)</f>
        <v>#N/A</v>
      </c>
      <c r="F43" s="170" t="s">
        <v>1647</v>
      </c>
      <c r="G43" s="146" t="s">
        <v>1627</v>
      </c>
      <c r="H43" s="173" t="s">
        <v>279</v>
      </c>
      <c r="I43" s="171">
        <v>10</v>
      </c>
      <c r="J43" s="172"/>
      <c r="K43" s="542" t="e">
        <f>VLOOKUP(J43,Stock_list!A:R,18,FALSE)</f>
        <v>#N/A</v>
      </c>
      <c r="L43" s="543" t="e">
        <f>VLOOKUP(J43,Stock_list!A:S,17,FALSE)</f>
        <v>#N/A</v>
      </c>
      <c r="M43" s="542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8" t="s">
        <v>16</v>
      </c>
      <c r="B44" s="440">
        <v>301</v>
      </c>
      <c r="C44" s="429" t="str">
        <f>VLOOKUP(B44,'Data pick slip'!B:F,5,FALSE)</f>
        <v>KHN-M7710-A4</v>
      </c>
      <c r="D44" s="169">
        <v>111503</v>
      </c>
      <c r="E44" s="282">
        <f>VLOOKUP(D44,Stock_list!D:L,9,FALSE)</f>
        <v>45348</v>
      </c>
      <c r="F44" s="170" t="s">
        <v>1647</v>
      </c>
      <c r="G44" s="146" t="s">
        <v>1627</v>
      </c>
      <c r="H44" s="173" t="s">
        <v>279</v>
      </c>
      <c r="I44" s="171">
        <v>20</v>
      </c>
      <c r="J44" s="172"/>
      <c r="K44" s="542" t="e">
        <f>VLOOKUP(J44,Stock_list!A:R,18,FALSE)</f>
        <v>#N/A</v>
      </c>
      <c r="L44" s="543" t="e">
        <f>VLOOKUP(J44,Stock_list!A:S,17,FALSE)</f>
        <v>#N/A</v>
      </c>
      <c r="M44" s="542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8" t="s">
        <v>16</v>
      </c>
      <c r="B45" s="440">
        <v>303</v>
      </c>
      <c r="C45" s="429" t="str">
        <f>VLOOKUP(B45,'Data pick slip'!B:F,5,FALSE)</f>
        <v>KHY-M7740-A0</v>
      </c>
      <c r="D45" s="169">
        <v>111503</v>
      </c>
      <c r="E45" s="282">
        <f>VLOOKUP(D45,Stock_list!D:L,9,FALSE)</f>
        <v>45348</v>
      </c>
      <c r="F45" s="170" t="s">
        <v>1647</v>
      </c>
      <c r="G45" s="146" t="s">
        <v>1627</v>
      </c>
      <c r="H45" s="173" t="s">
        <v>279</v>
      </c>
      <c r="I45" s="171">
        <v>20</v>
      </c>
      <c r="J45" s="172"/>
      <c r="K45" s="542" t="e">
        <f>VLOOKUP(J45,Stock_list!A:R,18,FALSE)</f>
        <v>#N/A</v>
      </c>
      <c r="L45" s="543" t="e">
        <f>VLOOKUP(J45,Stock_list!A:S,17,FALSE)</f>
        <v>#N/A</v>
      </c>
      <c r="M45" s="542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8" t="s">
        <v>1781</v>
      </c>
      <c r="B46" s="440">
        <v>302</v>
      </c>
      <c r="C46" s="429" t="str">
        <f>VLOOKUP(B46,'Data pick slip'!B:F,5,FALSE)</f>
        <v>KHN-M7720-A3</v>
      </c>
      <c r="D46" s="312" t="s">
        <v>1783</v>
      </c>
      <c r="E46" s="282"/>
      <c r="F46" s="170" t="s">
        <v>1647</v>
      </c>
      <c r="G46" s="146" t="s">
        <v>1629</v>
      </c>
      <c r="H46" s="173" t="s">
        <v>73</v>
      </c>
      <c r="I46" s="171">
        <v>10</v>
      </c>
      <c r="J46" s="172">
        <v>2027</v>
      </c>
      <c r="K46" s="542" t="e">
        <f>VLOOKUP(J46,Stock_list!A:R,18,FALSE)</f>
        <v>#N/A</v>
      </c>
      <c r="L46" s="543" t="e">
        <f>VLOOKUP(J46,Stock_list!A:S,17,FALSE)</f>
        <v>#N/A</v>
      </c>
      <c r="M46" s="542" t="e">
        <f>VLOOKUP(J46,Stock_list!A:T,16,FALSE)</f>
        <v>#N/A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8" t="s">
        <v>1781</v>
      </c>
      <c r="B47" s="440">
        <v>302</v>
      </c>
      <c r="C47" s="429" t="str">
        <f>VLOOKUP(B47,'Data pick slip'!B:F,5,FALSE)</f>
        <v>KHN-M7720-A3</v>
      </c>
      <c r="D47" s="312" t="s">
        <v>1783</v>
      </c>
      <c r="E47" s="282"/>
      <c r="F47" s="170" t="s">
        <v>1647</v>
      </c>
      <c r="G47" s="146" t="s">
        <v>1629</v>
      </c>
      <c r="H47" s="173" t="s">
        <v>73</v>
      </c>
      <c r="I47" s="171">
        <v>10</v>
      </c>
      <c r="J47" s="172">
        <v>2043</v>
      </c>
      <c r="K47" s="542" t="e">
        <f>VLOOKUP(J47,Stock_list!A:R,18,FALSE)</f>
        <v>#N/A</v>
      </c>
      <c r="L47" s="543" t="e">
        <f>VLOOKUP(J47,Stock_list!A:S,17,FALSE)</f>
        <v>#N/A</v>
      </c>
      <c r="M47" s="542" t="e">
        <f>VLOOKUP(J47,Stock_list!A:T,16,FALSE)</f>
        <v>#N/A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8" t="s">
        <v>212</v>
      </c>
      <c r="B48" s="442">
        <v>301</v>
      </c>
      <c r="C48" s="429" t="str">
        <f>VLOOKUP(B48,'Data pick slip'!B:F,5,FALSE)</f>
        <v>KHN-M7710-A4</v>
      </c>
      <c r="D48" s="169"/>
      <c r="E48" s="282" t="s">
        <v>1809</v>
      </c>
      <c r="F48" s="170" t="s">
        <v>1632</v>
      </c>
      <c r="G48" s="146" t="s">
        <v>1627</v>
      </c>
      <c r="H48" s="173" t="s">
        <v>73</v>
      </c>
      <c r="I48" s="171">
        <v>40</v>
      </c>
      <c r="J48" s="172"/>
      <c r="K48" s="390" t="s">
        <v>1787</v>
      </c>
      <c r="L48" s="282" t="s">
        <v>1809</v>
      </c>
      <c r="M48" s="51" t="s">
        <v>1788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8" t="s">
        <v>212</v>
      </c>
      <c r="B49" s="442">
        <v>302</v>
      </c>
      <c r="C49" s="429" t="str">
        <f>VLOOKUP(B49,'Data pick slip'!B:F,5,FALSE)</f>
        <v>KHN-M7720-A3</v>
      </c>
      <c r="D49" s="169"/>
      <c r="E49" s="282" t="s">
        <v>1809</v>
      </c>
      <c r="F49" s="170" t="s">
        <v>1632</v>
      </c>
      <c r="G49" s="146" t="s">
        <v>1627</v>
      </c>
      <c r="H49" s="173" t="s">
        <v>73</v>
      </c>
      <c r="I49" s="171">
        <v>10</v>
      </c>
      <c r="J49" s="172"/>
      <c r="K49" s="390" t="s">
        <v>1787</v>
      </c>
      <c r="L49" s="282" t="s">
        <v>1809</v>
      </c>
      <c r="M49" s="51" t="s">
        <v>1788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8" t="s">
        <v>16</v>
      </c>
      <c r="B50" s="440">
        <v>301</v>
      </c>
      <c r="C50" s="429" t="str">
        <f>VLOOKUP(B50,'Data pick slip'!B:F,5,FALSE)</f>
        <v>KHN-M7710-A4</v>
      </c>
      <c r="D50" s="169" t="s">
        <v>1797</v>
      </c>
      <c r="E50" s="282"/>
      <c r="F50" s="170" t="s">
        <v>1647</v>
      </c>
      <c r="G50" s="146" t="s">
        <v>1629</v>
      </c>
      <c r="H50" s="173" t="s">
        <v>73</v>
      </c>
      <c r="I50" s="171">
        <v>10</v>
      </c>
      <c r="J50" s="172"/>
      <c r="K50" s="542"/>
      <c r="L50" s="543"/>
      <c r="M50" s="542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8" t="s">
        <v>16</v>
      </c>
      <c r="B51" s="440">
        <v>301</v>
      </c>
      <c r="C51" s="429" t="str">
        <f>VLOOKUP(B51,'Data pick slip'!B:F,5,FALSE)</f>
        <v>KHN-M7710-A4</v>
      </c>
      <c r="D51" s="169" t="s">
        <v>1797</v>
      </c>
      <c r="E51" s="282"/>
      <c r="F51" s="170" t="s">
        <v>1647</v>
      </c>
      <c r="G51" s="146" t="s">
        <v>1627</v>
      </c>
      <c r="H51" s="173" t="s">
        <v>73</v>
      </c>
      <c r="I51" s="171">
        <v>10</v>
      </c>
      <c r="J51" s="172"/>
      <c r="K51" s="542"/>
      <c r="L51" s="543"/>
      <c r="M51" s="542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8" t="s">
        <v>16</v>
      </c>
      <c r="B52" s="440">
        <v>301</v>
      </c>
      <c r="C52" s="429" t="str">
        <f>VLOOKUP(B52,'Data pick slip'!B:F,5,FALSE)</f>
        <v>KHN-M7710-A4</v>
      </c>
      <c r="D52" s="169">
        <v>111521</v>
      </c>
      <c r="E52" s="282">
        <f>VLOOKUP(D52,Stock_list!D:L,9,FALSE)</f>
        <v>45355</v>
      </c>
      <c r="F52" s="170" t="s">
        <v>1647</v>
      </c>
      <c r="G52" s="146" t="s">
        <v>1627</v>
      </c>
      <c r="H52" s="173" t="s">
        <v>279</v>
      </c>
      <c r="I52" s="171">
        <v>75</v>
      </c>
      <c r="J52" s="172"/>
      <c r="K52" s="542"/>
      <c r="L52" s="543"/>
      <c r="M52" s="542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8" t="s">
        <v>16</v>
      </c>
      <c r="B53" s="440">
        <v>303</v>
      </c>
      <c r="C53" s="429" t="str">
        <f>VLOOKUP(B53,'Data pick slip'!B:F,5,FALSE)</f>
        <v>KHY-M7740-A0</v>
      </c>
      <c r="D53" s="169">
        <v>111521</v>
      </c>
      <c r="E53" s="282">
        <f>VLOOKUP(D53,Stock_list!D:L,9,FALSE)</f>
        <v>45355</v>
      </c>
      <c r="F53" s="170" t="s">
        <v>1647</v>
      </c>
      <c r="G53" s="146" t="s">
        <v>1627</v>
      </c>
      <c r="H53" s="173" t="s">
        <v>279</v>
      </c>
      <c r="I53" s="171">
        <v>20</v>
      </c>
      <c r="J53" s="172"/>
      <c r="K53" s="542"/>
      <c r="L53" s="543"/>
      <c r="M53" s="542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8" t="s">
        <v>16</v>
      </c>
      <c r="B54" s="440">
        <v>302</v>
      </c>
      <c r="C54" s="429" t="str">
        <f>VLOOKUP(B54,'Data pick slip'!B:F,5,FALSE)</f>
        <v>KHN-M7720-A3</v>
      </c>
      <c r="D54" s="169">
        <v>111521</v>
      </c>
      <c r="E54" s="282">
        <f>VLOOKUP(D54,Stock_list!D:L,9,FALSE)</f>
        <v>45355</v>
      </c>
      <c r="F54" s="170" t="s">
        <v>1647</v>
      </c>
      <c r="G54" s="146" t="s">
        <v>1627</v>
      </c>
      <c r="H54" s="173" t="s">
        <v>279</v>
      </c>
      <c r="I54" s="171">
        <v>25</v>
      </c>
      <c r="J54" s="172"/>
      <c r="K54" s="542"/>
      <c r="L54" s="543"/>
      <c r="M54" s="542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8" t="s">
        <v>16</v>
      </c>
      <c r="B55" s="440">
        <v>301</v>
      </c>
      <c r="C55" s="429" t="str">
        <f>VLOOKUP(B55,'Data pick slip'!B:F,5,FALSE)</f>
        <v>KHN-M7710-A4</v>
      </c>
      <c r="D55" s="169">
        <v>111522</v>
      </c>
      <c r="E55" s="282">
        <f>VLOOKUP(D55,Stock_list!D:L,9,FALSE)</f>
        <v>45352</v>
      </c>
      <c r="F55" s="170" t="s">
        <v>1647</v>
      </c>
      <c r="G55" s="146" t="s">
        <v>1627</v>
      </c>
      <c r="H55" s="173" t="s">
        <v>279</v>
      </c>
      <c r="I55" s="171">
        <v>60</v>
      </c>
      <c r="J55" s="172"/>
      <c r="K55" s="542"/>
      <c r="L55" s="543"/>
      <c r="M55" s="542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8" t="s">
        <v>16</v>
      </c>
      <c r="B56" s="440">
        <v>303</v>
      </c>
      <c r="C56" s="429" t="str">
        <f>VLOOKUP(B56,'Data pick slip'!B:F,5,FALSE)</f>
        <v>KHY-M7740-A0</v>
      </c>
      <c r="D56" s="169">
        <v>111522</v>
      </c>
      <c r="E56" s="282">
        <f>VLOOKUP(D56,Stock_list!D:L,9,FALSE)</f>
        <v>45352</v>
      </c>
      <c r="F56" s="170" t="s">
        <v>1647</v>
      </c>
      <c r="G56" s="146" t="s">
        <v>1627</v>
      </c>
      <c r="H56" s="173" t="s">
        <v>279</v>
      </c>
      <c r="I56" s="171">
        <v>20</v>
      </c>
      <c r="J56" s="172"/>
      <c r="K56" s="542"/>
      <c r="L56" s="543"/>
      <c r="M56" s="542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8" t="s">
        <v>16</v>
      </c>
      <c r="B57" s="440">
        <v>301</v>
      </c>
      <c r="C57" s="429" t="str">
        <f>VLOOKUP(B57,'Data pick slip'!B:F,5,FALSE)</f>
        <v>KHN-M7710-A4</v>
      </c>
      <c r="D57" s="312" t="s">
        <v>1816</v>
      </c>
      <c r="E57" s="282"/>
      <c r="F57" s="170" t="s">
        <v>1632</v>
      </c>
      <c r="G57" s="146" t="s">
        <v>1629</v>
      </c>
      <c r="H57" s="173" t="s">
        <v>73</v>
      </c>
      <c r="I57" s="171">
        <v>9</v>
      </c>
      <c r="J57" s="172">
        <v>2034</v>
      </c>
      <c r="K57" s="542" t="e">
        <f>VLOOKUP(J57,Stock_list!A:R,18,FALSE)</f>
        <v>#N/A</v>
      </c>
      <c r="L57" s="543" t="e">
        <f>VLOOKUP(J57,Stock_list!A:S,17,FALSE)</f>
        <v>#N/A</v>
      </c>
      <c r="M57" s="542" t="e">
        <f>VLOOKUP(J57,Stock_list!A:T,16,FALSE)</f>
        <v>#N/A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8" t="s">
        <v>1843</v>
      </c>
      <c r="B58" s="440">
        <v>301</v>
      </c>
      <c r="C58" s="429" t="str">
        <f>VLOOKUP(B58,'Data pick slip'!B:F,5,FALSE)</f>
        <v>KHN-M7710-A4</v>
      </c>
      <c r="D58" s="312" t="s">
        <v>1654</v>
      </c>
      <c r="E58" s="282"/>
      <c r="F58" s="170" t="s">
        <v>1647</v>
      </c>
      <c r="G58" s="146" t="s">
        <v>1629</v>
      </c>
      <c r="H58" s="173" t="s">
        <v>73</v>
      </c>
      <c r="I58" s="171">
        <v>50</v>
      </c>
      <c r="J58" s="172">
        <v>2057</v>
      </c>
      <c r="K58" s="542" t="e">
        <f>VLOOKUP(J58,Stock_list!A:R,18,FALSE)</f>
        <v>#N/A</v>
      </c>
      <c r="L58" s="543" t="e">
        <f>VLOOKUP(J58,Stock_list!A:S,17,FALSE)</f>
        <v>#N/A</v>
      </c>
      <c r="M58" s="542" t="e">
        <f>VLOOKUP(J58,Stock_list!A:T,16,FALSE)</f>
        <v>#N/A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8" t="s">
        <v>212</v>
      </c>
      <c r="B59" s="440">
        <v>301</v>
      </c>
      <c r="C59" s="429" t="str">
        <f>VLOOKUP(B59,'Data pick slip'!B:F,5,FALSE)</f>
        <v>KHN-M7710-A4</v>
      </c>
      <c r="D59" s="312" t="s">
        <v>1654</v>
      </c>
      <c r="E59" s="282"/>
      <c r="F59" s="170" t="s">
        <v>1647</v>
      </c>
      <c r="G59" s="146" t="s">
        <v>1629</v>
      </c>
      <c r="H59" s="173" t="s">
        <v>73</v>
      </c>
      <c r="I59" s="171">
        <v>48</v>
      </c>
      <c r="J59" s="172">
        <v>2050</v>
      </c>
      <c r="K59" s="542" t="e">
        <f>VLOOKUP(J59,Stock_list!A:R,18,FALSE)</f>
        <v>#N/A</v>
      </c>
      <c r="L59" s="543" t="e">
        <f>VLOOKUP(J59,Stock_list!A:S,17,FALSE)</f>
        <v>#N/A</v>
      </c>
      <c r="M59" s="542" t="e">
        <f>VLOOKUP(J59,Stock_list!A:T,16,FALSE)</f>
        <v>#N/A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8" t="s">
        <v>212</v>
      </c>
      <c r="B60" s="442">
        <v>301</v>
      </c>
      <c r="C60" s="429" t="str">
        <f>VLOOKUP(B60,'Data pick slip'!B:F,5,FALSE)</f>
        <v>KHN-M7710-A4</v>
      </c>
      <c r="D60" s="545" t="s">
        <v>1654</v>
      </c>
      <c r="F60" s="170" t="s">
        <v>1647</v>
      </c>
      <c r="G60" s="146" t="s">
        <v>1629</v>
      </c>
      <c r="H60" s="146" t="s">
        <v>73</v>
      </c>
      <c r="I60" s="171">
        <v>20</v>
      </c>
      <c r="J60" s="172">
        <v>2063</v>
      </c>
      <c r="K60" s="542" t="e">
        <f>VLOOKUP(J60,Stock_list!A:R,18,FALSE)</f>
        <v>#N/A</v>
      </c>
      <c r="L60" s="543" t="e">
        <f>VLOOKUP(J60,Stock_list!A:S,17,FALSE)</f>
        <v>#N/A</v>
      </c>
      <c r="M60" s="542" t="e">
        <f>VLOOKUP(J60,Stock_list!A:T,16,FALSE)</f>
        <v>#N/A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8" t="s">
        <v>1856</v>
      </c>
      <c r="B61" s="442">
        <v>302</v>
      </c>
      <c r="C61" s="429" t="str">
        <f>VLOOKUP(B61,'Data pick slip'!B:F,5,FALSE)</f>
        <v>KHN-M7720-A3</v>
      </c>
      <c r="D61" s="545" t="s">
        <v>1654</v>
      </c>
      <c r="F61" s="170" t="s">
        <v>1855</v>
      </c>
      <c r="G61" s="146" t="s">
        <v>1629</v>
      </c>
      <c r="H61" s="146" t="s">
        <v>73</v>
      </c>
      <c r="I61" s="171">
        <v>15</v>
      </c>
      <c r="J61" s="172">
        <v>2045</v>
      </c>
      <c r="K61" s="542" t="e">
        <f>VLOOKUP(J61,Stock_list!A:R,18,FALSE)</f>
        <v>#N/A</v>
      </c>
      <c r="L61" s="543" t="e">
        <f>VLOOKUP(J61,Stock_list!A:S,17,FALSE)</f>
        <v>#N/A</v>
      </c>
      <c r="M61" s="542" t="e">
        <f>VLOOKUP(J61,Stock_list!A:T,16,FALSE)</f>
        <v>#N/A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8" t="s">
        <v>212</v>
      </c>
      <c r="B62" s="442">
        <v>302</v>
      </c>
      <c r="C62" s="429" t="str">
        <f>VLOOKUP(B62,'Data pick slip'!B:F,5,FALSE)</f>
        <v>KHN-M7720-A3</v>
      </c>
      <c r="D62" s="545" t="s">
        <v>1654</v>
      </c>
      <c r="F62" s="170" t="s">
        <v>1634</v>
      </c>
      <c r="G62" s="146" t="s">
        <v>1629</v>
      </c>
      <c r="H62" s="146" t="s">
        <v>73</v>
      </c>
      <c r="I62" s="171">
        <v>40</v>
      </c>
      <c r="J62" s="172">
        <v>2081</v>
      </c>
      <c r="K62" s="542" t="e">
        <f>VLOOKUP(J62,Stock_list!A:R,18,FALSE)</f>
        <v>#N/A</v>
      </c>
      <c r="L62" s="543" t="e">
        <f>VLOOKUP(J62,Stock_list!A:S,17,FALSE)</f>
        <v>#N/A</v>
      </c>
      <c r="M62" s="542" t="e">
        <f>VLOOKUP(J62,Stock_list!A:T,16,FALSE)</f>
        <v>#N/A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8" t="s">
        <v>212</v>
      </c>
      <c r="B63" s="442">
        <v>301</v>
      </c>
      <c r="C63" s="429" t="str">
        <f>VLOOKUP(B63,'Data pick slip'!B:F,5,FALSE)</f>
        <v>KHN-M7710-A4</v>
      </c>
      <c r="D63" s="545" t="s">
        <v>1654</v>
      </c>
      <c r="F63" s="170" t="s">
        <v>1647</v>
      </c>
      <c r="G63" s="146" t="s">
        <v>1629</v>
      </c>
      <c r="H63" s="146" t="s">
        <v>73</v>
      </c>
      <c r="I63" s="171">
        <v>40</v>
      </c>
      <c r="J63" s="172">
        <v>2081</v>
      </c>
      <c r="K63" s="542" t="e">
        <f>VLOOKUP(J63,Stock_list!A:R,18,FALSE)</f>
        <v>#N/A</v>
      </c>
      <c r="L63" s="543" t="e">
        <f>VLOOKUP(J63,Stock_list!A:S,17,FALSE)</f>
        <v>#N/A</v>
      </c>
      <c r="M63" s="542" t="e">
        <f>VLOOKUP(J63,Stock_list!A:T,16,FALSE)</f>
        <v>#N/A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8" t="s">
        <v>212</v>
      </c>
      <c r="B64" s="440">
        <v>303</v>
      </c>
      <c r="C64" s="429" t="str">
        <f>VLOOKUP(B64,'Data pick slip'!B:F,5,FALSE)</f>
        <v>KHY-M7740-A0</v>
      </c>
      <c r="D64" s="169">
        <v>111536</v>
      </c>
      <c r="E64" s="282" t="str">
        <f>VLOOKUP(D64,Stock_list!D:L,9,FALSE)</f>
        <v>ex-work 24年2月</v>
      </c>
      <c r="F64" s="170" t="s">
        <v>1647</v>
      </c>
      <c r="G64" s="146" t="s">
        <v>1627</v>
      </c>
      <c r="H64" s="173" t="s">
        <v>21</v>
      </c>
      <c r="I64" s="171">
        <v>30</v>
      </c>
      <c r="J64" s="172"/>
      <c r="K64" s="542"/>
      <c r="L64" s="543"/>
      <c r="M64" s="542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8" t="s">
        <v>212</v>
      </c>
      <c r="B65" s="442">
        <v>301</v>
      </c>
      <c r="C65" s="429" t="str">
        <f>VLOOKUP(B65,'Data pick slip'!B:F,5,FALSE)</f>
        <v>KHN-M7710-A4</v>
      </c>
      <c r="D65" s="545" t="s">
        <v>1654</v>
      </c>
      <c r="F65" s="170" t="s">
        <v>1634</v>
      </c>
      <c r="G65" s="146" t="s">
        <v>1629</v>
      </c>
      <c r="H65" s="146" t="s">
        <v>73</v>
      </c>
      <c r="I65" s="171">
        <v>65</v>
      </c>
      <c r="J65" s="172">
        <v>2017</v>
      </c>
      <c r="K65" s="542" t="e">
        <f>VLOOKUP(J65,Stock_list!A:R,18,FALSE)</f>
        <v>#N/A</v>
      </c>
      <c r="L65" s="543" t="e">
        <f>VLOOKUP(J65,Stock_list!A:S,17,FALSE)</f>
        <v>#N/A</v>
      </c>
      <c r="M65" s="542" t="e">
        <f>VLOOKUP(J65,Stock_list!A:T,16,FALSE)</f>
        <v>#N/A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8" t="s">
        <v>212</v>
      </c>
      <c r="B66" s="442">
        <v>302</v>
      </c>
      <c r="C66" s="429" t="str">
        <f>VLOOKUP(B66,'Data pick slip'!B:F,5,FALSE)</f>
        <v>KHN-M7720-A3</v>
      </c>
      <c r="D66" s="545" t="s">
        <v>1873</v>
      </c>
      <c r="F66" s="170" t="s">
        <v>1647</v>
      </c>
      <c r="G66" s="146" t="s">
        <v>1629</v>
      </c>
      <c r="H66" s="146" t="s">
        <v>73</v>
      </c>
      <c r="I66" s="171">
        <v>25</v>
      </c>
      <c r="J66" s="172"/>
      <c r="K66" s="542" t="s">
        <v>1878</v>
      </c>
      <c r="L66" s="543" t="s">
        <v>1879</v>
      </c>
      <c r="M66" s="542" t="s">
        <v>22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8" t="s">
        <v>212</v>
      </c>
      <c r="B67" s="442">
        <v>303</v>
      </c>
      <c r="C67" s="429" t="str">
        <f>VLOOKUP(B67,'Data pick slip'!B:F,5,FALSE)</f>
        <v>KHY-M7740-A0</v>
      </c>
      <c r="D67" s="545" t="s">
        <v>1873</v>
      </c>
      <c r="F67" s="170" t="s">
        <v>1647</v>
      </c>
      <c r="G67" s="146" t="s">
        <v>1629</v>
      </c>
      <c r="H67" s="146" t="s">
        <v>73</v>
      </c>
      <c r="I67" s="171">
        <v>23</v>
      </c>
      <c r="J67" s="172"/>
      <c r="K67" s="542" t="s">
        <v>1878</v>
      </c>
      <c r="L67" s="543" t="s">
        <v>1879</v>
      </c>
      <c r="M67" s="542" t="s">
        <v>22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B68" s="440"/>
      <c r="C68" s="429" t="e">
        <f>VLOOKUP(B68,'Data pick slip'!B:F,5,FALSE)</f>
        <v>#N/A</v>
      </c>
      <c r="D68" s="169"/>
      <c r="E68" s="282" t="e">
        <f>VLOOKUP(D68,Stock_list!D:L,9,FALSE)</f>
        <v>#N/A</v>
      </c>
      <c r="F68" s="170"/>
      <c r="H68" s="173"/>
      <c r="I68" s="171"/>
      <c r="J68" s="172"/>
      <c r="K68" s="542" t="e">
        <f>VLOOKUP(J68,Stock_list!A:R,18,FALSE)</f>
        <v>#N/A</v>
      </c>
      <c r="L68" s="543" t="e">
        <f>VLOOKUP(J68,Stock_list!A:S,17,FALSE)</f>
        <v>#N/A</v>
      </c>
      <c r="M68" s="542" t="e">
        <f>VLOOKUP(J68,Stock_list!A:T,16,FALSE)</f>
        <v>#N/A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B69" s="440"/>
      <c r="C69" s="429" t="e">
        <f>VLOOKUP(B69,'Data pick slip'!B:F,5,FALSE)</f>
        <v>#N/A</v>
      </c>
      <c r="D69" s="169"/>
      <c r="E69" s="282" t="e">
        <f>VLOOKUP(D69,Stock_list!D:L,9,FALSE)</f>
        <v>#N/A</v>
      </c>
      <c r="F69" s="170"/>
      <c r="H69" s="173"/>
      <c r="I69" s="171"/>
      <c r="J69" s="172"/>
      <c r="K69" s="542" t="e">
        <f>VLOOKUP(J69,Stock_list!A:R,18,FALSE)</f>
        <v>#N/A</v>
      </c>
      <c r="L69" s="543" t="e">
        <f>VLOOKUP(J69,Stock_list!A:S,17,FALSE)</f>
        <v>#N/A</v>
      </c>
      <c r="M69" s="542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B70" s="440"/>
      <c r="C70" s="429" t="e">
        <f>VLOOKUP(B70,'Data pick slip'!B:F,5,FALSE)</f>
        <v>#N/A</v>
      </c>
      <c r="D70" s="169"/>
      <c r="E70" s="282" t="e">
        <f>VLOOKUP(D70,Stock_list!D:L,9,FALSE)</f>
        <v>#N/A</v>
      </c>
      <c r="F70" s="170"/>
      <c r="H70" s="173"/>
      <c r="I70" s="171"/>
      <c r="J70" s="172"/>
      <c r="K70" s="542" t="e">
        <f>VLOOKUP(J70,Stock_list!A:R,18,FALSE)</f>
        <v>#N/A</v>
      </c>
      <c r="L70" s="543" t="e">
        <f>VLOOKUP(J70,Stock_list!A:S,17,FALSE)</f>
        <v>#N/A</v>
      </c>
      <c r="M70" s="542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B71" s="440"/>
      <c r="C71" s="429" t="e">
        <f>VLOOKUP(B71,'Data pick slip'!B:F,5,FALSE)</f>
        <v>#N/A</v>
      </c>
      <c r="D71" s="169"/>
      <c r="E71" s="282" t="e">
        <f>VLOOKUP(D71,Stock_list!D:L,9,FALSE)</f>
        <v>#N/A</v>
      </c>
      <c r="F71" s="170"/>
      <c r="H71" s="173"/>
      <c r="I71" s="171"/>
      <c r="J71" s="172"/>
      <c r="K71" s="542" t="e">
        <f>VLOOKUP(J71,Stock_list!A:R,18,FALSE)</f>
        <v>#N/A</v>
      </c>
      <c r="L71" s="543" t="e">
        <f>VLOOKUP(J71,Stock_list!A:S,17,FALSE)</f>
        <v>#N/A</v>
      </c>
      <c r="M71" s="542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B72" s="440"/>
      <c r="C72" s="429" t="e">
        <f>VLOOKUP(B72,'Data pick slip'!B:F,5,FALSE)</f>
        <v>#N/A</v>
      </c>
      <c r="D72" s="169"/>
      <c r="E72" s="282" t="e">
        <f>VLOOKUP(D72,Stock_list!D:L,9,FALSE)</f>
        <v>#N/A</v>
      </c>
      <c r="F72" s="170"/>
      <c r="H72" s="173"/>
      <c r="I72" s="171"/>
      <c r="J72" s="172"/>
      <c r="K72" s="174"/>
      <c r="L72" s="173"/>
      <c r="M72" s="174"/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 thickBot="1">
      <c r="A73" s="441"/>
      <c r="B73" s="441"/>
      <c r="C73" s="430" t="e">
        <f>VLOOKUP(B73,'Data pick slip'!B:F,5,FALSE)</f>
        <v>#N/A</v>
      </c>
      <c r="D73" s="184"/>
      <c r="E73" s="305" t="e">
        <f>VLOOKUP(D73,Stock_list!D:L,9,FALSE)</f>
        <v>#N/A</v>
      </c>
      <c r="F73" s="185"/>
      <c r="G73" s="184"/>
      <c r="H73" s="184"/>
      <c r="I73" s="186"/>
      <c r="J73" s="187"/>
      <c r="K73" s="189"/>
      <c r="L73" s="188"/>
      <c r="M73" s="189"/>
      <c r="N73" s="190"/>
      <c r="O73" s="189"/>
      <c r="P73" s="191"/>
      <c r="Q73" s="191"/>
      <c r="R73" s="188"/>
      <c r="S73" s="192"/>
      <c r="T73" s="193"/>
      <c r="U73" s="188"/>
      <c r="V73" s="194"/>
      <c r="W73" s="145"/>
    </row>
    <row r="74" spans="1:23" ht="16.5" hidden="1" customHeight="1">
      <c r="A74" s="478" t="s">
        <v>16</v>
      </c>
      <c r="B74" s="440">
        <v>301</v>
      </c>
      <c r="C74" s="429" t="str">
        <f>VLOOKUP(B74,'Data pick slip'!B:F,5,FALSE)</f>
        <v>KHN-M7710-A4</v>
      </c>
      <c r="F74" s="170" t="s">
        <v>1647</v>
      </c>
      <c r="G74" s="146" t="s">
        <v>1629</v>
      </c>
      <c r="H74" s="146" t="s">
        <v>73</v>
      </c>
      <c r="J74" s="138" t="s">
        <v>1750</v>
      </c>
      <c r="K74" s="140">
        <v>66</v>
      </c>
      <c r="L74" s="269" t="s">
        <v>1754</v>
      </c>
      <c r="M74" s="51" t="s">
        <v>22</v>
      </c>
      <c r="N74" s="4">
        <v>45274</v>
      </c>
      <c r="O74" s="132">
        <v>8</v>
      </c>
      <c r="P74" s="146"/>
      <c r="R74" s="4" t="s">
        <v>1755</v>
      </c>
      <c r="S74" s="143"/>
      <c r="V74" s="144"/>
      <c r="W74" s="145" t="e">
        <f>VLOOKUP(J74,Stock_list!A:N,14,FALSE)</f>
        <v>#N/A</v>
      </c>
    </row>
    <row r="75" spans="1:23" ht="16.5" hidden="1" customHeight="1">
      <c r="A75" s="478" t="s">
        <v>16</v>
      </c>
      <c r="B75" s="440">
        <v>302</v>
      </c>
      <c r="C75" s="429" t="str">
        <f>VLOOKUP(B75,'Data pick slip'!B:F,5,FALSE)</f>
        <v>KHN-M7720-A3</v>
      </c>
      <c r="F75" s="170" t="s">
        <v>1647</v>
      </c>
      <c r="G75" s="146" t="s">
        <v>1629</v>
      </c>
      <c r="H75" s="146" t="s">
        <v>73</v>
      </c>
      <c r="J75" s="138" t="s">
        <v>1750</v>
      </c>
      <c r="K75" s="140">
        <v>66</v>
      </c>
      <c r="L75" s="269" t="s">
        <v>1754</v>
      </c>
      <c r="M75" s="51" t="s">
        <v>22</v>
      </c>
      <c r="N75" s="4">
        <v>45274</v>
      </c>
      <c r="O75" s="132">
        <v>8</v>
      </c>
      <c r="P75" s="146"/>
      <c r="R75" s="4" t="s">
        <v>1755</v>
      </c>
      <c r="S75" s="143"/>
      <c r="V75" s="144"/>
      <c r="W75" s="145" t="e">
        <f>VLOOKUP(J75,Stock_list!A:N,14,FALSE)</f>
        <v>#N/A</v>
      </c>
    </row>
    <row r="76" spans="1:23" ht="16.5" hidden="1" customHeight="1">
      <c r="A76" s="478" t="s">
        <v>16</v>
      </c>
      <c r="B76" s="440">
        <v>303</v>
      </c>
      <c r="C76" s="429" t="str">
        <f>VLOOKUP(B76,'Data pick slip'!B:F,5,FALSE)</f>
        <v>KHY-M7740-A0</v>
      </c>
      <c r="F76" s="170" t="s">
        <v>1647</v>
      </c>
      <c r="G76" s="146" t="s">
        <v>1629</v>
      </c>
      <c r="H76" s="146" t="s">
        <v>73</v>
      </c>
      <c r="J76" s="138" t="s">
        <v>1750</v>
      </c>
      <c r="K76" s="140">
        <v>66</v>
      </c>
      <c r="L76" s="269" t="s">
        <v>1754</v>
      </c>
      <c r="M76" s="51" t="s">
        <v>22</v>
      </c>
      <c r="N76" s="4">
        <v>45274</v>
      </c>
      <c r="O76" s="132">
        <v>3</v>
      </c>
      <c r="P76" s="146"/>
      <c r="R76" s="4" t="s">
        <v>1755</v>
      </c>
      <c r="S76" s="143"/>
      <c r="V76" s="144"/>
      <c r="W76" s="145" t="e">
        <f>VLOOKUP(J76,Stock_list!A:N,14,FALSE)</f>
        <v>#N/A</v>
      </c>
    </row>
    <row r="77" spans="1:23" ht="16.5" hidden="1" customHeight="1">
      <c r="A77" s="478" t="s">
        <v>1769</v>
      </c>
      <c r="B77" s="442">
        <v>301</v>
      </c>
      <c r="C77" s="429" t="str">
        <f>VLOOKUP(B77,'Data pick slip'!B:F,5,FALSE)</f>
        <v>KHN-M7710-A4</v>
      </c>
      <c r="F77" s="170" t="s">
        <v>1632</v>
      </c>
      <c r="G77" s="146" t="s">
        <v>1627</v>
      </c>
      <c r="H77" s="146" t="s">
        <v>73</v>
      </c>
      <c r="J77" s="138">
        <v>2022</v>
      </c>
      <c r="K77" s="542" t="e">
        <f>VLOOKUP(J77,Stock_list!A:R,18,FALSE)</f>
        <v>#N/A</v>
      </c>
      <c r="L77" s="543" t="e">
        <f>VLOOKUP(J77,Stock_list!A:S,17,FALSE)</f>
        <v>#N/A</v>
      </c>
      <c r="M77" s="542" t="e">
        <f>VLOOKUP(J77,Stock_list!A:T,16,FALSE)</f>
        <v>#N/A</v>
      </c>
      <c r="N77" s="4">
        <v>45261</v>
      </c>
      <c r="O77" s="140">
        <v>10</v>
      </c>
      <c r="R77" s="4" t="e">
        <f>VLOOKUP(J77,Stock_list!A:Y,25,FALSE)</f>
        <v>#N/A</v>
      </c>
      <c r="S77" s="143"/>
      <c r="V77" s="144"/>
      <c r="W77" s="145" t="e">
        <f>VLOOKUP(J77,Stock_list!A:N,14,FALSE)</f>
        <v>#N/A</v>
      </c>
    </row>
    <row r="78" spans="1:23" ht="16.5" hidden="1" customHeight="1">
      <c r="A78" s="478" t="s">
        <v>1769</v>
      </c>
      <c r="B78" s="442">
        <v>301</v>
      </c>
      <c r="C78" s="429" t="str">
        <f>VLOOKUP(B78,'Data pick slip'!B:F,5,FALSE)</f>
        <v>KHN-M7710-A4</v>
      </c>
      <c r="F78" s="170" t="s">
        <v>1647</v>
      </c>
      <c r="G78" s="146" t="s">
        <v>1627</v>
      </c>
      <c r="H78" s="146" t="s">
        <v>73</v>
      </c>
      <c r="J78" s="138">
        <v>2000</v>
      </c>
      <c r="K78" s="542" t="e">
        <f>VLOOKUP(J78,Stock_list!A:R,18,FALSE)</f>
        <v>#N/A</v>
      </c>
      <c r="L78" s="543" t="e">
        <f>VLOOKUP(J78,Stock_list!A:S,17,FALSE)</f>
        <v>#N/A</v>
      </c>
      <c r="M78" s="542" t="e">
        <f>VLOOKUP(J78,Stock_list!A:T,16,FALSE)</f>
        <v>#N/A</v>
      </c>
      <c r="N78" s="4">
        <v>45265</v>
      </c>
      <c r="O78" s="140">
        <v>5</v>
      </c>
      <c r="R78" s="4" t="e">
        <f>VLOOKUP(J78,Stock_list!A:Y,25,FALSE)</f>
        <v>#N/A</v>
      </c>
      <c r="S78" s="143"/>
      <c r="V78" s="144"/>
      <c r="W78" s="145" t="e">
        <f>VLOOKUP(J78,Stock_list!A:N,14,FALSE)</f>
        <v>#N/A</v>
      </c>
    </row>
    <row r="79" spans="1:23" ht="16.5" hidden="1" customHeight="1">
      <c r="A79" s="478" t="s">
        <v>1769</v>
      </c>
      <c r="B79" s="442">
        <v>303</v>
      </c>
      <c r="C79" s="429" t="str">
        <f>VLOOKUP(B79,'Data pick slip'!B:F,5,FALSE)</f>
        <v>KHY-M7740-A0</v>
      </c>
      <c r="F79" s="170" t="s">
        <v>1647</v>
      </c>
      <c r="G79" s="146" t="s">
        <v>1627</v>
      </c>
      <c r="H79" s="146" t="s">
        <v>73</v>
      </c>
      <c r="J79" s="138">
        <v>2000</v>
      </c>
      <c r="K79" s="542" t="e">
        <f>VLOOKUP(J79,Stock_list!A:R,18,FALSE)</f>
        <v>#N/A</v>
      </c>
      <c r="L79" s="543" t="e">
        <f>VLOOKUP(J79,Stock_list!A:S,17,FALSE)</f>
        <v>#N/A</v>
      </c>
      <c r="M79" s="542" t="e">
        <f>VLOOKUP(J79,Stock_list!A:T,16,FALSE)</f>
        <v>#N/A</v>
      </c>
      <c r="N79" s="4">
        <v>45265</v>
      </c>
      <c r="O79" s="140">
        <v>5</v>
      </c>
      <c r="R79" s="4" t="e">
        <f>VLOOKUP(J79,Stock_list!A:Y,25,FALSE)</f>
        <v>#N/A</v>
      </c>
      <c r="S79" s="143"/>
      <c r="V79" s="144"/>
      <c r="W79" s="145" t="e">
        <f>VLOOKUP(J79,Stock_list!A:N,14,FALSE)</f>
        <v>#N/A</v>
      </c>
    </row>
    <row r="80" spans="1:23" ht="16.5" hidden="1" customHeight="1">
      <c r="A80" s="478" t="s">
        <v>1769</v>
      </c>
      <c r="B80" s="442">
        <v>301</v>
      </c>
      <c r="C80" s="429" t="str">
        <f>VLOOKUP(B80,'Data pick slip'!B:F,5,FALSE)</f>
        <v>KHN-M7710-A4</v>
      </c>
      <c r="F80" s="170" t="s">
        <v>1647</v>
      </c>
      <c r="G80" s="146" t="s">
        <v>1627</v>
      </c>
      <c r="H80" s="146" t="s">
        <v>73</v>
      </c>
      <c r="J80" s="138">
        <v>2031</v>
      </c>
      <c r="K80" s="542" t="e">
        <f>VLOOKUP(J80,Stock_list!A:R,18,FALSE)</f>
        <v>#N/A</v>
      </c>
      <c r="L80" s="543" t="e">
        <f>VLOOKUP(J80,Stock_list!A:S,17,FALSE)</f>
        <v>#N/A</v>
      </c>
      <c r="M80" s="542" t="e">
        <f>VLOOKUP(J80,Stock_list!A:T,16,FALSE)</f>
        <v>#N/A</v>
      </c>
      <c r="N80" s="4">
        <v>45272</v>
      </c>
      <c r="O80" s="140">
        <v>10</v>
      </c>
      <c r="R80" s="4" t="e">
        <f>VLOOKUP(J80,Stock_list!A:Y,25,FALSE)</f>
        <v>#N/A</v>
      </c>
      <c r="S80" s="143"/>
      <c r="V80" s="144"/>
      <c r="W80" s="145" t="e">
        <f>VLOOKUP(J80,Stock_list!A:N,14,FALSE)</f>
        <v>#N/A</v>
      </c>
    </row>
    <row r="81" spans="1:23" ht="16.5" hidden="1" customHeight="1">
      <c r="A81" s="478" t="s">
        <v>1781</v>
      </c>
      <c r="B81" s="442">
        <v>301</v>
      </c>
      <c r="C81" s="429" t="str">
        <f>VLOOKUP(B81,'Data pick slip'!B:F,5,FALSE)</f>
        <v>KHN-M7710-A4</v>
      </c>
      <c r="F81" s="170" t="s">
        <v>1782</v>
      </c>
      <c r="G81" s="146" t="s">
        <v>1627</v>
      </c>
      <c r="H81" s="146" t="s">
        <v>73</v>
      </c>
      <c r="J81" s="138">
        <v>2027</v>
      </c>
      <c r="K81" s="542" t="e">
        <f>VLOOKUP(J81,Stock_list!A:R,18,FALSE)</f>
        <v>#N/A</v>
      </c>
      <c r="L81" s="543" t="e">
        <f>VLOOKUP(J81,Stock_list!A:S,17,FALSE)</f>
        <v>#N/A</v>
      </c>
      <c r="M81" s="542" t="e">
        <f>VLOOKUP(J81,Stock_list!A:T,16,FALSE)</f>
        <v>#N/A</v>
      </c>
      <c r="N81" s="4">
        <v>45275</v>
      </c>
      <c r="O81" s="140">
        <v>30</v>
      </c>
      <c r="R81" s="4" t="e">
        <f>VLOOKUP(J81,Stock_list!A:Y,25,FALSE)</f>
        <v>#N/A</v>
      </c>
      <c r="S81" s="143"/>
      <c r="V81" s="144"/>
      <c r="W81" s="145"/>
    </row>
    <row r="82" spans="1:23" ht="16.5" hidden="1" customHeight="1">
      <c r="A82" s="478" t="s">
        <v>1781</v>
      </c>
      <c r="B82" s="442">
        <v>301</v>
      </c>
      <c r="C82" s="429" t="str">
        <f>VLOOKUP(B82,'Data pick slip'!B:F,5,FALSE)</f>
        <v>KHN-M7710-A4</v>
      </c>
      <c r="F82" s="170" t="s">
        <v>1782</v>
      </c>
      <c r="G82" s="146" t="s">
        <v>1629</v>
      </c>
      <c r="H82" s="146" t="s">
        <v>73</v>
      </c>
      <c r="J82" s="138">
        <v>2027</v>
      </c>
      <c r="K82" s="542" t="e">
        <f>VLOOKUP(J82,Stock_list!A:R,18,FALSE)</f>
        <v>#N/A</v>
      </c>
      <c r="L82" s="543" t="e">
        <f>VLOOKUP(J82,Stock_list!A:S,17,FALSE)</f>
        <v>#N/A</v>
      </c>
      <c r="M82" s="542" t="e">
        <f>VLOOKUP(J82,Stock_list!A:T,16,FALSE)</f>
        <v>#N/A</v>
      </c>
      <c r="N82" s="4">
        <v>45275</v>
      </c>
      <c r="O82" s="140">
        <v>10</v>
      </c>
      <c r="R82" s="4" t="e">
        <f>VLOOKUP(J82,Stock_list!A:Y,25,FALSE)</f>
        <v>#N/A</v>
      </c>
      <c r="S82" s="143"/>
      <c r="V82" s="144"/>
      <c r="W82" s="145"/>
    </row>
    <row r="83" spans="1:23" ht="18" hidden="1" customHeight="1">
      <c r="A83" s="478" t="s">
        <v>1781</v>
      </c>
      <c r="B83" s="442">
        <v>301</v>
      </c>
      <c r="C83" s="429" t="str">
        <f>VLOOKUP(B83,'Data pick slip'!B:F,5,FALSE)</f>
        <v>KHN-M7710-A4</v>
      </c>
      <c r="D83" s="545" t="s">
        <v>1783</v>
      </c>
      <c r="F83" s="170" t="s">
        <v>1782</v>
      </c>
      <c r="G83" s="146" t="s">
        <v>1627</v>
      </c>
      <c r="H83" s="146" t="s">
        <v>73</v>
      </c>
      <c r="J83" s="138">
        <v>2027</v>
      </c>
      <c r="K83" s="542" t="e">
        <f>VLOOKUP(J83,Stock_list!A:R,18,FALSE)</f>
        <v>#N/A</v>
      </c>
      <c r="L83" s="543" t="e">
        <f>VLOOKUP(J83,Stock_list!A:S,17,FALSE)</f>
        <v>#N/A</v>
      </c>
      <c r="M83" s="542" t="e">
        <f>VLOOKUP(J83,Stock_list!A:T,16,FALSE)</f>
        <v>#N/A</v>
      </c>
      <c r="N83" s="4">
        <v>45275</v>
      </c>
      <c r="O83" s="140">
        <v>10</v>
      </c>
      <c r="R83" s="4" t="e">
        <f>VLOOKUP(J83,Stock_list!A:Y,25,FALSE)</f>
        <v>#N/A</v>
      </c>
      <c r="S83" s="143"/>
      <c r="V83" s="144"/>
      <c r="W83" s="145"/>
    </row>
    <row r="84" spans="1:23" ht="21.75" hidden="1" customHeight="1">
      <c r="A84" s="478" t="s">
        <v>1781</v>
      </c>
      <c r="B84" s="442">
        <v>301</v>
      </c>
      <c r="C84" s="429" t="str">
        <f>VLOOKUP(B84,'Data pick slip'!B:F,5,FALSE)</f>
        <v>KHN-M7710-A4</v>
      </c>
      <c r="F84" s="170" t="s">
        <v>1782</v>
      </c>
      <c r="G84" s="146" t="s">
        <v>1627</v>
      </c>
      <c r="H84" s="146" t="s">
        <v>73</v>
      </c>
      <c r="J84" s="138">
        <v>2047</v>
      </c>
      <c r="K84" s="542" t="e">
        <f>VLOOKUP(J84,Stock_list!A:R,18,FALSE)</f>
        <v>#N/A</v>
      </c>
      <c r="L84" s="543" t="e">
        <f>VLOOKUP(J84,Stock_list!A:S,17,FALSE)</f>
        <v>#N/A</v>
      </c>
      <c r="M84" s="542" t="e">
        <f>VLOOKUP(J84,Stock_list!A:T,16,FALSE)</f>
        <v>#N/A</v>
      </c>
      <c r="N84" s="4">
        <v>45281</v>
      </c>
      <c r="O84" s="140">
        <v>20</v>
      </c>
      <c r="R84" s="4" t="e">
        <f>VLOOKUP(J84,Stock_list!A:Y,25,FALSE)</f>
        <v>#N/A</v>
      </c>
      <c r="S84" s="143"/>
      <c r="V84" s="144"/>
      <c r="W84" s="145"/>
    </row>
    <row r="85" spans="1:23" ht="16.5" hidden="1" customHeight="1">
      <c r="A85" s="478" t="s">
        <v>1781</v>
      </c>
      <c r="B85" s="442">
        <v>301</v>
      </c>
      <c r="C85" s="429" t="str">
        <f>VLOOKUP(B85,'Data pick slip'!B:F,5,FALSE)</f>
        <v>KHN-M7710-A4</v>
      </c>
      <c r="F85" s="170" t="s">
        <v>1647</v>
      </c>
      <c r="G85" s="146" t="s">
        <v>1627</v>
      </c>
      <c r="H85" s="146" t="s">
        <v>73</v>
      </c>
      <c r="J85" s="138">
        <v>2043</v>
      </c>
      <c r="K85" s="542" t="e">
        <f>VLOOKUP(J85,Stock_list!A:R,18,FALSE)</f>
        <v>#N/A</v>
      </c>
      <c r="L85" s="543" t="e">
        <f>VLOOKUP(J85,Stock_list!A:S,17,FALSE)</f>
        <v>#N/A</v>
      </c>
      <c r="M85" s="542" t="e">
        <f>VLOOKUP(J85,Stock_list!A:T,16,FALSE)</f>
        <v>#N/A</v>
      </c>
      <c r="N85" s="4">
        <v>45278</v>
      </c>
      <c r="O85" s="140">
        <v>10</v>
      </c>
      <c r="R85" s="4" t="e">
        <f>VLOOKUP(J85,Stock_list!A:Y,25,FALSE)</f>
        <v>#N/A</v>
      </c>
      <c r="S85" s="143"/>
      <c r="V85" s="144"/>
      <c r="W85" s="145"/>
    </row>
    <row r="86" spans="1:23" ht="16.5" hidden="1" customHeight="1">
      <c r="A86" s="478" t="s">
        <v>1781</v>
      </c>
      <c r="B86" s="442">
        <v>302</v>
      </c>
      <c r="C86" s="429" t="str">
        <f>VLOOKUP(B86,'Data pick slip'!B:F,5,FALSE)</f>
        <v>KHN-M7720-A3</v>
      </c>
      <c r="F86" s="170" t="s">
        <v>1647</v>
      </c>
      <c r="G86" s="146" t="s">
        <v>1629</v>
      </c>
      <c r="H86" s="146" t="s">
        <v>73</v>
      </c>
      <c r="J86" s="138">
        <v>2043</v>
      </c>
      <c r="K86" s="542" t="e">
        <f>VLOOKUP(J86,Stock_list!A:R,18,FALSE)</f>
        <v>#N/A</v>
      </c>
      <c r="L86" s="543" t="e">
        <f>VLOOKUP(J86,Stock_list!A:S,17,FALSE)</f>
        <v>#N/A</v>
      </c>
      <c r="M86" s="542" t="e">
        <f>VLOOKUP(J86,Stock_list!A:T,16,FALSE)</f>
        <v>#N/A</v>
      </c>
      <c r="N86" s="291">
        <v>45278</v>
      </c>
      <c r="O86" s="140">
        <v>10</v>
      </c>
      <c r="R86" s="4" t="e">
        <f>VLOOKUP(J86,Stock_list!A:Y,25,FALSE)</f>
        <v>#N/A</v>
      </c>
      <c r="S86" s="143"/>
      <c r="V86" s="144"/>
      <c r="W86" s="145"/>
    </row>
    <row r="87" spans="1:23" ht="16.5" hidden="1" customHeight="1">
      <c r="A87" s="478" t="s">
        <v>1781</v>
      </c>
      <c r="B87" s="442">
        <v>301</v>
      </c>
      <c r="C87" s="429" t="str">
        <f>VLOOKUP(B87,'Data pick slip'!B:F,5,FALSE)</f>
        <v>KHN-M7710-A4</v>
      </c>
      <c r="D87" s="545" t="s">
        <v>1783</v>
      </c>
      <c r="E87" s="541"/>
      <c r="F87" s="170" t="s">
        <v>1647</v>
      </c>
      <c r="G87" s="146" t="s">
        <v>1627</v>
      </c>
      <c r="H87" s="146" t="s">
        <v>73</v>
      </c>
      <c r="J87" s="138">
        <v>2043</v>
      </c>
      <c r="K87" s="140" t="e">
        <f>VLOOKUP(J87,Stock_list!A:R,18,FALSE)</f>
        <v>#N/A</v>
      </c>
      <c r="L87" s="139" t="e">
        <f>VLOOKUP(J87,Stock_list!A:S,17,FALSE)</f>
        <v>#N/A</v>
      </c>
      <c r="M87" s="51" t="e">
        <f>VLOOKUP(J87,Stock_list!A:T,16,FALSE)</f>
        <v>#N/A</v>
      </c>
      <c r="N87" s="4">
        <v>45278</v>
      </c>
      <c r="O87" s="140">
        <v>10</v>
      </c>
      <c r="R87" s="4" t="e">
        <f>VLOOKUP(J87,Stock_list!A:Y,25,FALSE)</f>
        <v>#N/A</v>
      </c>
      <c r="S87" s="143"/>
      <c r="V87" s="144"/>
      <c r="W87" s="145"/>
    </row>
    <row r="88" spans="1:23" ht="16.5" customHeight="1">
      <c r="A88" s="478" t="s">
        <v>212</v>
      </c>
      <c r="B88" s="442">
        <v>301</v>
      </c>
      <c r="C88" s="429" t="str">
        <f>VLOOKUP(B88,'Data pick slip'!B:F,5,FALSE)</f>
        <v>KHN-M7710-A4</v>
      </c>
      <c r="F88" s="170" t="s">
        <v>1647</v>
      </c>
      <c r="G88" s="146" t="s">
        <v>1627</v>
      </c>
      <c r="H88" s="146" t="s">
        <v>73</v>
      </c>
      <c r="K88" s="390" t="s">
        <v>1787</v>
      </c>
      <c r="L88" s="139" t="s">
        <v>1814</v>
      </c>
      <c r="M88" s="51" t="s">
        <v>1788</v>
      </c>
      <c r="N88" s="4">
        <v>45294</v>
      </c>
      <c r="O88" s="140">
        <v>40</v>
      </c>
      <c r="R88" s="4" t="s">
        <v>1786</v>
      </c>
      <c r="S88" s="143"/>
      <c r="V88" s="144"/>
      <c r="W88" s="145"/>
    </row>
    <row r="89" spans="1:23" ht="16.5" customHeight="1">
      <c r="A89" s="478" t="s">
        <v>212</v>
      </c>
      <c r="B89" s="442">
        <v>302</v>
      </c>
      <c r="C89" s="429" t="str">
        <f>VLOOKUP(B89,'Data pick slip'!B:F,5,FALSE)</f>
        <v>KHN-M7720-A3</v>
      </c>
      <c r="F89" s="170" t="s">
        <v>1647</v>
      </c>
      <c r="G89" s="146" t="s">
        <v>1627</v>
      </c>
      <c r="H89" s="146" t="s">
        <v>73</v>
      </c>
      <c r="K89" s="390" t="s">
        <v>1787</v>
      </c>
      <c r="L89" s="139" t="s">
        <v>1814</v>
      </c>
      <c r="M89" s="51" t="s">
        <v>1788</v>
      </c>
      <c r="N89" s="4">
        <v>45294</v>
      </c>
      <c r="O89" s="140">
        <v>10</v>
      </c>
      <c r="R89" s="4" t="s">
        <v>1786</v>
      </c>
      <c r="S89" s="143"/>
      <c r="V89" s="144"/>
      <c r="W89" s="145"/>
    </row>
    <row r="90" spans="1:23" ht="16.5" hidden="1" customHeight="1">
      <c r="A90" s="478" t="s">
        <v>212</v>
      </c>
      <c r="B90" s="442">
        <v>301</v>
      </c>
      <c r="C90" s="429" t="str">
        <f>VLOOKUP(B90,'Data pick slip'!B:F,5,FALSE)</f>
        <v>KHN-M7710-A4</v>
      </c>
      <c r="F90" s="170" t="s">
        <v>1647</v>
      </c>
      <c r="G90" s="146" t="s">
        <v>1627</v>
      </c>
      <c r="H90" s="146" t="s">
        <v>73</v>
      </c>
      <c r="J90" s="138">
        <v>2044</v>
      </c>
      <c r="K90" s="140" t="e">
        <f>VLOOKUP(J90,Stock_list!A:R,18,FALSE)</f>
        <v>#N/A</v>
      </c>
      <c r="L90" s="139" t="e">
        <f>VLOOKUP(J90,Stock_list!A:S,17,FALSE)</f>
        <v>#N/A</v>
      </c>
      <c r="M90" s="51" t="e">
        <f>VLOOKUP(J90,Stock_list!A:T,16,FALSE)</f>
        <v>#N/A</v>
      </c>
      <c r="N90" s="4">
        <v>45285</v>
      </c>
      <c r="O90" s="140">
        <v>20</v>
      </c>
      <c r="R90" s="4" t="e">
        <f>VLOOKUP(J90,Stock_list!A:Y,25,FALSE)</f>
        <v>#N/A</v>
      </c>
      <c r="S90" s="143"/>
      <c r="V90" s="144"/>
      <c r="W90" s="145"/>
    </row>
    <row r="91" spans="1:23" ht="16.5" hidden="1" customHeight="1">
      <c r="A91" s="478" t="s">
        <v>1789</v>
      </c>
      <c r="B91" s="442">
        <v>301</v>
      </c>
      <c r="C91" s="429" t="str">
        <f>VLOOKUP(B91,'Data pick slip'!B:F,5,FALSE)</f>
        <v>KHN-M7710-A4</v>
      </c>
      <c r="F91" s="170" t="s">
        <v>1647</v>
      </c>
      <c r="G91" s="146" t="s">
        <v>1629</v>
      </c>
      <c r="H91" s="146" t="s">
        <v>73</v>
      </c>
      <c r="J91" s="138" t="s">
        <v>1820</v>
      </c>
      <c r="K91" s="390">
        <v>66</v>
      </c>
      <c r="L91" s="381" t="s">
        <v>1792</v>
      </c>
      <c r="M91" s="51" t="s">
        <v>1790</v>
      </c>
      <c r="N91" s="4">
        <v>45280</v>
      </c>
      <c r="O91" s="140">
        <v>1</v>
      </c>
      <c r="R91" s="4" t="s">
        <v>1791</v>
      </c>
      <c r="S91" s="143"/>
      <c r="V91" s="144"/>
      <c r="W91" s="145"/>
    </row>
    <row r="92" spans="1:23" ht="16.5" hidden="1" customHeight="1">
      <c r="A92" s="478" t="s">
        <v>1789</v>
      </c>
      <c r="B92" s="442">
        <v>302</v>
      </c>
      <c r="C92" s="429" t="str">
        <f>VLOOKUP(B92,'Data pick slip'!B:F,5,FALSE)</f>
        <v>KHN-M7720-A3</v>
      </c>
      <c r="F92" s="170" t="s">
        <v>1647</v>
      </c>
      <c r="G92" s="146" t="s">
        <v>1629</v>
      </c>
      <c r="H92" s="146" t="s">
        <v>73</v>
      </c>
      <c r="J92" s="138" t="s">
        <v>1820</v>
      </c>
      <c r="K92" s="390">
        <v>66</v>
      </c>
      <c r="L92" s="381" t="s">
        <v>1792</v>
      </c>
      <c r="M92" s="51" t="s">
        <v>1790</v>
      </c>
      <c r="N92" s="4">
        <v>45280</v>
      </c>
      <c r="O92" s="140">
        <v>1</v>
      </c>
      <c r="R92" s="4" t="s">
        <v>1791</v>
      </c>
      <c r="S92" s="143"/>
      <c r="V92" s="144"/>
      <c r="W92" s="145"/>
    </row>
    <row r="93" spans="1:23" ht="16.5" hidden="1" customHeight="1">
      <c r="A93" s="478" t="s">
        <v>1789</v>
      </c>
      <c r="B93" s="442">
        <v>303</v>
      </c>
      <c r="C93" s="429" t="str">
        <f>VLOOKUP(B93,'Data pick slip'!B:F,5,FALSE)</f>
        <v>KHY-M7740-A0</v>
      </c>
      <c r="F93" s="170" t="s">
        <v>1647</v>
      </c>
      <c r="G93" s="146" t="s">
        <v>1629</v>
      </c>
      <c r="H93" s="146" t="s">
        <v>73</v>
      </c>
      <c r="J93" s="138" t="s">
        <v>1820</v>
      </c>
      <c r="K93" s="390">
        <v>66</v>
      </c>
      <c r="L93" s="381" t="s">
        <v>1792</v>
      </c>
      <c r="M93" s="51" t="s">
        <v>1790</v>
      </c>
      <c r="N93" s="4">
        <v>45280</v>
      </c>
      <c r="O93" s="140">
        <v>3</v>
      </c>
      <c r="R93" s="4" t="s">
        <v>1791</v>
      </c>
      <c r="S93" s="143"/>
      <c r="V93" s="144"/>
      <c r="W93" s="145"/>
    </row>
    <row r="94" spans="1:23" ht="16.5" hidden="1" customHeight="1">
      <c r="A94" s="478" t="s">
        <v>1789</v>
      </c>
      <c r="B94" s="442">
        <v>304</v>
      </c>
      <c r="C94" s="429" t="str">
        <f>VLOOKUP(B94,'Data pick slip'!B:F,5,FALSE)</f>
        <v>KHY-M7750-A0</v>
      </c>
      <c r="F94" s="170" t="s">
        <v>1647</v>
      </c>
      <c r="G94" s="146" t="s">
        <v>1629</v>
      </c>
      <c r="H94" s="146" t="s">
        <v>73</v>
      </c>
      <c r="J94" s="138" t="s">
        <v>1820</v>
      </c>
      <c r="K94" s="390">
        <v>66</v>
      </c>
      <c r="L94" s="381" t="s">
        <v>1792</v>
      </c>
      <c r="M94" s="51" t="s">
        <v>1790</v>
      </c>
      <c r="N94" s="4">
        <v>45280</v>
      </c>
      <c r="O94" s="140">
        <v>2</v>
      </c>
      <c r="R94" s="4" t="s">
        <v>1791</v>
      </c>
      <c r="S94" s="143"/>
      <c r="V94" s="144"/>
      <c r="W94" s="145"/>
    </row>
    <row r="95" spans="1:23" ht="16.5" hidden="1" customHeight="1">
      <c r="A95" s="478" t="s">
        <v>212</v>
      </c>
      <c r="B95" s="442">
        <v>301</v>
      </c>
      <c r="C95" s="429" t="str">
        <f>VLOOKUP(B95,'Data pick slip'!B:F,5,FALSE)</f>
        <v>KHN-M7710-A4</v>
      </c>
      <c r="F95" s="170" t="s">
        <v>1647</v>
      </c>
      <c r="G95" s="146" t="s">
        <v>1627</v>
      </c>
      <c r="H95" s="146" t="s">
        <v>73</v>
      </c>
      <c r="J95" s="138">
        <v>2030</v>
      </c>
      <c r="K95" s="140" t="e">
        <f>VLOOKUP(J95,Stock_list!A:R,18,FALSE)</f>
        <v>#N/A</v>
      </c>
      <c r="L95" s="139" t="e">
        <f>VLOOKUP(J95,Stock_list!A:S,17,FALSE)</f>
        <v>#N/A</v>
      </c>
      <c r="M95" s="51" t="e">
        <f>VLOOKUP(J95,Stock_list!A:T,16,FALSE)</f>
        <v>#N/A</v>
      </c>
      <c r="N95" s="4">
        <v>45287</v>
      </c>
      <c r="O95" s="140">
        <v>30</v>
      </c>
      <c r="R95" s="4" t="e">
        <f>VLOOKUP(J95,Stock_list!A:Y,25,FALSE)</f>
        <v>#N/A</v>
      </c>
      <c r="S95" s="143"/>
      <c r="V95" s="144"/>
      <c r="W95" s="145"/>
    </row>
    <row r="96" spans="1:23" ht="23.25" customHeight="1">
      <c r="A96" s="478" t="s">
        <v>1789</v>
      </c>
      <c r="B96" s="442">
        <v>303</v>
      </c>
      <c r="C96" s="429" t="str">
        <f>VLOOKUP(B96,'Data pick slip'!B:F,5,FALSE)</f>
        <v>KHY-M7740-A0</v>
      </c>
      <c r="F96" s="170" t="s">
        <v>1647</v>
      </c>
      <c r="G96" s="146" t="s">
        <v>1629</v>
      </c>
      <c r="H96" s="146" t="s">
        <v>73</v>
      </c>
      <c r="J96" s="138" t="s">
        <v>1821</v>
      </c>
      <c r="K96" s="390">
        <v>66</v>
      </c>
      <c r="L96" s="267" t="s">
        <v>1796</v>
      </c>
      <c r="M96" s="51" t="s">
        <v>1794</v>
      </c>
      <c r="N96" s="291">
        <v>45317</v>
      </c>
      <c r="O96" s="140">
        <v>2</v>
      </c>
      <c r="R96" s="4" t="s">
        <v>1795</v>
      </c>
      <c r="S96" s="143"/>
      <c r="V96" s="144"/>
      <c r="W96" s="145"/>
    </row>
    <row r="97" spans="1:23" ht="16.5" customHeight="1">
      <c r="A97" s="478" t="s">
        <v>212</v>
      </c>
      <c r="B97" s="442">
        <v>301</v>
      </c>
      <c r="C97" s="429" t="str">
        <f>VLOOKUP(B97,'Data pick slip'!B:F,5,FALSE)</f>
        <v>KHN-M7710-A4</v>
      </c>
      <c r="F97" s="170" t="s">
        <v>1632</v>
      </c>
      <c r="G97" s="146" t="s">
        <v>1627</v>
      </c>
      <c r="H97" s="146" t="s">
        <v>73</v>
      </c>
      <c r="J97" s="138">
        <v>2034</v>
      </c>
      <c r="K97" s="140" t="e">
        <f>VLOOKUP(J97,Stock_list!A:R,18,FALSE)</f>
        <v>#N/A</v>
      </c>
      <c r="L97" s="139" t="e">
        <f>VLOOKUP(J97,Stock_list!A:S,17,FALSE)</f>
        <v>#N/A</v>
      </c>
      <c r="M97" s="51" t="e">
        <f>VLOOKUP(J97,Stock_list!A:T,16,FALSE)</f>
        <v>#N/A</v>
      </c>
      <c r="N97" s="4">
        <v>45296</v>
      </c>
      <c r="O97" s="140">
        <v>31</v>
      </c>
      <c r="R97" s="4" t="e">
        <f>VLOOKUP(J97,Stock_list!A:Y,25,FALSE)</f>
        <v>#N/A</v>
      </c>
      <c r="S97" s="143"/>
      <c r="V97" s="144"/>
      <c r="W97" s="145"/>
    </row>
    <row r="98" spans="1:23" ht="16.5" customHeight="1">
      <c r="A98" s="478" t="s">
        <v>212</v>
      </c>
      <c r="B98" s="442">
        <v>302</v>
      </c>
      <c r="C98" s="429" t="str">
        <f>VLOOKUP(B98,'Data pick slip'!B:F,5,FALSE)</f>
        <v>KHN-M7720-A3</v>
      </c>
      <c r="F98" s="170" t="s">
        <v>1632</v>
      </c>
      <c r="G98" s="146" t="s">
        <v>1627</v>
      </c>
      <c r="H98" s="146" t="s">
        <v>73</v>
      </c>
      <c r="J98" s="138">
        <v>2034</v>
      </c>
      <c r="K98" s="140" t="e">
        <f>VLOOKUP(J98,Stock_list!A:R,18,FALSE)</f>
        <v>#N/A</v>
      </c>
      <c r="L98" s="139" t="e">
        <f>VLOOKUP(J98,Stock_list!A:S,17,FALSE)</f>
        <v>#N/A</v>
      </c>
      <c r="M98" s="51" t="e">
        <f>VLOOKUP(J98,Stock_list!A:T,16,FALSE)</f>
        <v>#N/A</v>
      </c>
      <c r="N98" s="4">
        <v>45296</v>
      </c>
      <c r="O98" s="140">
        <v>10</v>
      </c>
      <c r="R98" s="4" t="e">
        <f>VLOOKUP(J98,Stock_list!A:Y,25,FALSE)</f>
        <v>#N/A</v>
      </c>
      <c r="S98" s="143"/>
      <c r="V98" s="144"/>
      <c r="W98" s="145"/>
    </row>
    <row r="99" spans="1:23" ht="18" hidden="1" customHeight="1">
      <c r="A99" s="478" t="s">
        <v>212</v>
      </c>
      <c r="B99" s="442">
        <v>302</v>
      </c>
      <c r="C99" s="429" t="str">
        <f>VLOOKUP(B99,'Data pick slip'!B:F,5,FALSE)</f>
        <v>KHN-M7720-A3</v>
      </c>
      <c r="D99" s="156" t="s">
        <v>1797</v>
      </c>
      <c r="F99" s="170" t="s">
        <v>1647</v>
      </c>
      <c r="G99" s="146" t="s">
        <v>1629</v>
      </c>
      <c r="H99" s="146" t="s">
        <v>73</v>
      </c>
      <c r="K99" s="140" t="s">
        <v>1798</v>
      </c>
      <c r="L99" s="139" t="s">
        <v>1798</v>
      </c>
      <c r="M99" s="51" t="s">
        <v>1799</v>
      </c>
      <c r="N99" s="4">
        <v>45288</v>
      </c>
      <c r="O99" s="140">
        <v>10</v>
      </c>
      <c r="R99" s="4" t="s">
        <v>1800</v>
      </c>
      <c r="S99" s="143"/>
      <c r="V99" s="144"/>
      <c r="W99" s="145"/>
    </row>
    <row r="100" spans="1:23" ht="16.5" hidden="1" customHeight="1">
      <c r="A100" s="478" t="s">
        <v>16</v>
      </c>
      <c r="B100" s="442">
        <v>302</v>
      </c>
      <c r="C100" s="429" t="str">
        <f>VLOOKUP(B100,'Data pick slip'!B:F,5,FALSE)</f>
        <v>KHN-M7720-A3</v>
      </c>
      <c r="D100" s="156" t="s">
        <v>1797</v>
      </c>
      <c r="F100" s="170" t="s">
        <v>1647</v>
      </c>
      <c r="G100" s="146" t="s">
        <v>1627</v>
      </c>
      <c r="H100" s="146" t="s">
        <v>73</v>
      </c>
      <c r="K100" s="140" t="s">
        <v>1798</v>
      </c>
      <c r="L100" s="139" t="s">
        <v>1798</v>
      </c>
      <c r="M100" s="51" t="s">
        <v>1799</v>
      </c>
      <c r="N100" s="4">
        <v>45288</v>
      </c>
      <c r="O100" s="140">
        <v>10</v>
      </c>
      <c r="R100" s="4" t="s">
        <v>1800</v>
      </c>
      <c r="S100" s="143"/>
      <c r="V100" s="144"/>
      <c r="W100" s="145"/>
    </row>
    <row r="101" spans="1:23" ht="16.5" customHeight="1">
      <c r="A101" s="478" t="s">
        <v>212</v>
      </c>
      <c r="B101" s="442">
        <v>302</v>
      </c>
      <c r="C101" s="429" t="str">
        <f>VLOOKUP(B101,'Data pick slip'!B:F,5,FALSE)</f>
        <v>KHN-M7720-A3</v>
      </c>
      <c r="D101" s="545"/>
      <c r="F101" s="170" t="s">
        <v>1647</v>
      </c>
      <c r="G101" s="146" t="s">
        <v>1629</v>
      </c>
      <c r="H101" s="146" t="s">
        <v>73</v>
      </c>
      <c r="J101" s="138">
        <v>2034</v>
      </c>
      <c r="K101" s="140" t="e">
        <f>VLOOKUP(J101,Stock_list!A:R,18,FALSE)</f>
        <v>#N/A</v>
      </c>
      <c r="L101" s="139" t="e">
        <f>VLOOKUP(J101,Stock_list!A:S,17,FALSE)</f>
        <v>#N/A</v>
      </c>
      <c r="M101" s="51" t="e">
        <f>VLOOKUP(J101,Stock_list!A:T,16,FALSE)</f>
        <v>#N/A</v>
      </c>
      <c r="N101" s="4">
        <v>45296</v>
      </c>
      <c r="O101" s="140">
        <v>3</v>
      </c>
      <c r="R101" s="4" t="e">
        <f>VLOOKUP(J101,Stock_list!A:Y,25,FALSE)</f>
        <v>#N/A</v>
      </c>
      <c r="S101" s="143"/>
      <c r="U101" s="123" t="s">
        <v>1815</v>
      </c>
      <c r="V101" s="144"/>
      <c r="W101" s="145"/>
    </row>
    <row r="102" spans="1:23" ht="16.5" customHeight="1">
      <c r="A102" s="478" t="s">
        <v>16</v>
      </c>
      <c r="B102" s="442">
        <v>303</v>
      </c>
      <c r="C102" s="429" t="str">
        <f>VLOOKUP(B102,'Data pick slip'!B:F,5,FALSE)</f>
        <v>KHY-M7740-A0</v>
      </c>
      <c r="D102" s="545"/>
      <c r="F102" s="170" t="s">
        <v>1632</v>
      </c>
      <c r="G102" s="146" t="s">
        <v>1629</v>
      </c>
      <c r="H102" s="146" t="s">
        <v>73</v>
      </c>
      <c r="J102" s="138">
        <v>2034</v>
      </c>
      <c r="K102" s="140" t="e">
        <f>VLOOKUP(J102,Stock_list!A:R,18,FALSE)</f>
        <v>#N/A</v>
      </c>
      <c r="L102" s="139" t="e">
        <f>VLOOKUP(J102,Stock_list!A:S,17,FALSE)</f>
        <v>#N/A</v>
      </c>
      <c r="M102" s="51" t="e">
        <f>VLOOKUP(J102,Stock_list!A:T,16,FALSE)</f>
        <v>#N/A</v>
      </c>
      <c r="N102" s="4">
        <v>45296</v>
      </c>
      <c r="O102" s="140">
        <v>6</v>
      </c>
      <c r="R102" s="4" t="e">
        <f>VLOOKUP(J102,Stock_list!A:Y,25,FALSE)</f>
        <v>#N/A</v>
      </c>
      <c r="S102" s="143"/>
      <c r="V102" s="144"/>
      <c r="W102" s="145"/>
    </row>
    <row r="103" spans="1:23" ht="16.5" customHeight="1">
      <c r="A103" s="478" t="s">
        <v>212</v>
      </c>
      <c r="B103" s="442">
        <v>301</v>
      </c>
      <c r="C103" s="429" t="str">
        <f>VLOOKUP(B103,'Data pick slip'!B:F,5,FALSE)</f>
        <v>KHN-M7710-A4</v>
      </c>
      <c r="D103" s="545" t="s">
        <v>1816</v>
      </c>
      <c r="F103" s="170" t="s">
        <v>1632</v>
      </c>
      <c r="G103" s="146" t="s">
        <v>1627</v>
      </c>
      <c r="H103" s="146" t="s">
        <v>73</v>
      </c>
      <c r="J103" s="138">
        <v>2034</v>
      </c>
      <c r="K103" s="140" t="e">
        <f>VLOOKUP(J103,Stock_list!A:R,18,FALSE)</f>
        <v>#N/A</v>
      </c>
      <c r="L103" s="139" t="e">
        <f>VLOOKUP(J103,Stock_list!A:S,17,FALSE)</f>
        <v>#N/A</v>
      </c>
      <c r="M103" s="51" t="e">
        <f>VLOOKUP(J103,Stock_list!A:T,16,FALSE)</f>
        <v>#N/A</v>
      </c>
      <c r="N103" s="4">
        <v>45296</v>
      </c>
      <c r="O103" s="140">
        <v>9</v>
      </c>
      <c r="R103" s="4" t="e">
        <f>VLOOKUP(J103,Stock_list!A:Y,25,FALSE)</f>
        <v>#N/A</v>
      </c>
      <c r="S103" s="143"/>
      <c r="V103" s="144"/>
      <c r="W103" s="145"/>
    </row>
    <row r="104" spans="1:23" ht="16.5" customHeight="1">
      <c r="A104" s="478" t="s">
        <v>1822</v>
      </c>
      <c r="B104" s="442">
        <v>301</v>
      </c>
      <c r="C104" s="429" t="str">
        <f>VLOOKUP(B104,'Data pick slip'!B:F,5,FALSE)</f>
        <v>KHN-M7710-A4</v>
      </c>
      <c r="F104" s="170" t="s">
        <v>1647</v>
      </c>
      <c r="G104" s="146" t="s">
        <v>1629</v>
      </c>
      <c r="H104" s="146" t="s">
        <v>73</v>
      </c>
      <c r="J104" s="138" t="s">
        <v>1818</v>
      </c>
      <c r="K104" s="140">
        <v>66</v>
      </c>
      <c r="L104" s="267" t="s">
        <v>1823</v>
      </c>
      <c r="M104" s="51" t="s">
        <v>1819</v>
      </c>
      <c r="N104" s="291">
        <v>45317</v>
      </c>
      <c r="O104" s="140">
        <v>20</v>
      </c>
      <c r="R104" s="4" t="s">
        <v>1824</v>
      </c>
      <c r="S104" s="143"/>
      <c r="V104" s="144"/>
      <c r="W104" s="145"/>
    </row>
    <row r="105" spans="1:23" ht="16.5" customHeight="1">
      <c r="A105" s="478" t="s">
        <v>1822</v>
      </c>
      <c r="B105" s="442">
        <v>311</v>
      </c>
      <c r="C105" s="429" t="str">
        <f>VLOOKUP(B105,'Data pick slip'!B:F,5,FALSE)</f>
        <v>KHY-M7710-A4</v>
      </c>
      <c r="F105" s="170" t="s">
        <v>1647</v>
      </c>
      <c r="G105" s="146" t="s">
        <v>1629</v>
      </c>
      <c r="H105" s="146" t="s">
        <v>73</v>
      </c>
      <c r="J105" s="138" t="s">
        <v>1818</v>
      </c>
      <c r="K105" s="140">
        <v>66</v>
      </c>
      <c r="L105" s="267" t="s">
        <v>1823</v>
      </c>
      <c r="M105" s="51" t="s">
        <v>1819</v>
      </c>
      <c r="N105" s="291">
        <v>45317</v>
      </c>
      <c r="O105" s="140">
        <v>10</v>
      </c>
      <c r="R105" s="4" t="s">
        <v>1824</v>
      </c>
      <c r="S105" s="143"/>
      <c r="V105" s="144"/>
      <c r="W105" s="145"/>
    </row>
    <row r="106" spans="1:23" ht="16.5" customHeight="1">
      <c r="A106" s="478" t="s">
        <v>1822</v>
      </c>
      <c r="B106" s="442">
        <v>302</v>
      </c>
      <c r="C106" s="429" t="str">
        <f>VLOOKUP(B106,'Data pick slip'!B:F,5,FALSE)</f>
        <v>KHN-M7720-A3</v>
      </c>
      <c r="F106" s="170" t="s">
        <v>1647</v>
      </c>
      <c r="G106" s="146" t="s">
        <v>1629</v>
      </c>
      <c r="H106" s="146" t="s">
        <v>73</v>
      </c>
      <c r="J106" s="138" t="s">
        <v>1818</v>
      </c>
      <c r="K106" s="140">
        <v>66</v>
      </c>
      <c r="L106" s="267" t="s">
        <v>1823</v>
      </c>
      <c r="M106" s="51" t="s">
        <v>1819</v>
      </c>
      <c r="N106" s="291">
        <v>45317</v>
      </c>
      <c r="O106" s="140">
        <v>30</v>
      </c>
      <c r="R106" s="4" t="s">
        <v>1824</v>
      </c>
      <c r="S106" s="143"/>
      <c r="V106" s="144"/>
      <c r="W106" s="145"/>
    </row>
    <row r="107" spans="1:23" ht="16.5" customHeight="1">
      <c r="A107" s="478" t="s">
        <v>1822</v>
      </c>
      <c r="B107" s="442">
        <v>303</v>
      </c>
      <c r="C107" s="429" t="str">
        <f>VLOOKUP(B107,'Data pick slip'!B:F,5,FALSE)</f>
        <v>KHY-M7740-A0</v>
      </c>
      <c r="F107" s="170" t="s">
        <v>1647</v>
      </c>
      <c r="G107" s="146" t="s">
        <v>1629</v>
      </c>
      <c r="H107" s="146" t="s">
        <v>73</v>
      </c>
      <c r="J107" s="138" t="s">
        <v>1818</v>
      </c>
      <c r="K107" s="140">
        <v>66</v>
      </c>
      <c r="L107" s="267" t="s">
        <v>1823</v>
      </c>
      <c r="M107" s="51" t="s">
        <v>1819</v>
      </c>
      <c r="N107" s="291">
        <v>45317</v>
      </c>
      <c r="O107" s="140">
        <v>15</v>
      </c>
      <c r="R107" s="4" t="s">
        <v>1824</v>
      </c>
      <c r="S107" s="143"/>
      <c r="V107" s="144"/>
      <c r="W107" s="145"/>
    </row>
    <row r="108" spans="1:23" ht="16.5" customHeight="1">
      <c r="A108" s="478" t="s">
        <v>1822</v>
      </c>
      <c r="B108" s="442">
        <v>304</v>
      </c>
      <c r="C108" s="429" t="str">
        <f>VLOOKUP(B108,'Data pick slip'!B:F,5,FALSE)</f>
        <v>KHY-M7750-A0</v>
      </c>
      <c r="F108" s="170" t="s">
        <v>1647</v>
      </c>
      <c r="G108" s="146" t="s">
        <v>1629</v>
      </c>
      <c r="H108" s="146" t="s">
        <v>73</v>
      </c>
      <c r="J108" s="138" t="s">
        <v>1818</v>
      </c>
      <c r="K108" s="140">
        <v>66</v>
      </c>
      <c r="L108" s="267" t="s">
        <v>1823</v>
      </c>
      <c r="M108" s="51" t="s">
        <v>1819</v>
      </c>
      <c r="N108" s="291">
        <v>45317</v>
      </c>
      <c r="O108" s="140">
        <v>5</v>
      </c>
      <c r="R108" s="4" t="s">
        <v>1824</v>
      </c>
      <c r="S108" s="143"/>
      <c r="V108" s="144"/>
      <c r="W108" s="145"/>
    </row>
    <row r="109" spans="1:23" ht="16.5" customHeight="1">
      <c r="A109" s="478" t="s">
        <v>16</v>
      </c>
      <c r="B109" s="442">
        <v>301</v>
      </c>
      <c r="C109" s="429" t="str">
        <f>VLOOKUP(B109,'Data pick slip'!B:F,5,FALSE)</f>
        <v>KHN-M7710-A4</v>
      </c>
      <c r="F109" s="170" t="s">
        <v>1647</v>
      </c>
      <c r="G109" s="146" t="s">
        <v>1627</v>
      </c>
      <c r="H109" s="146" t="s">
        <v>73</v>
      </c>
      <c r="J109" s="138">
        <v>2058</v>
      </c>
      <c r="K109" s="140" t="e">
        <f>VLOOKUP(J109,Stock_list!A:R,18,FALSE)</f>
        <v>#N/A</v>
      </c>
      <c r="L109" s="139" t="e">
        <f>VLOOKUP(J109,Stock_list!A:S,17,FALSE)</f>
        <v>#N/A</v>
      </c>
      <c r="M109" s="51" t="e">
        <f>VLOOKUP(J109,Stock_list!A:T,16,FALSE)</f>
        <v>#N/A</v>
      </c>
      <c r="N109" s="4">
        <v>45306</v>
      </c>
      <c r="O109" s="140">
        <v>10</v>
      </c>
      <c r="R109" s="4" t="e">
        <f>VLOOKUP(J109,Stock_list!A:Y,25,FALSE)</f>
        <v>#N/A</v>
      </c>
      <c r="S109" s="143"/>
      <c r="V109" s="144"/>
      <c r="W109" s="145"/>
    </row>
    <row r="110" spans="1:23" ht="16.5" customHeight="1">
      <c r="A110" s="478" t="s">
        <v>16</v>
      </c>
      <c r="B110" s="442">
        <v>301</v>
      </c>
      <c r="C110" s="429" t="str">
        <f>VLOOKUP(B110,'Data pick slip'!B:F,5,FALSE)</f>
        <v>KHN-M7710-A4</v>
      </c>
      <c r="F110" s="170" t="s">
        <v>1647</v>
      </c>
      <c r="G110" s="146" t="s">
        <v>1627</v>
      </c>
      <c r="H110" s="146" t="s">
        <v>73</v>
      </c>
      <c r="J110" s="138">
        <v>2059</v>
      </c>
      <c r="K110" s="140" t="e">
        <f>VLOOKUP(J110,Stock_list!A:R,18,FALSE)</f>
        <v>#N/A</v>
      </c>
      <c r="L110" s="139" t="e">
        <f>VLOOKUP(J110,Stock_list!A:S,17,FALSE)</f>
        <v>#N/A</v>
      </c>
      <c r="M110" s="51" t="e">
        <f>VLOOKUP(J110,Stock_list!A:T,16,FALSE)</f>
        <v>#N/A</v>
      </c>
      <c r="N110" s="4">
        <v>45307</v>
      </c>
      <c r="O110" s="140">
        <v>20</v>
      </c>
      <c r="R110" s="4" t="e">
        <f>VLOOKUP(J110,Stock_list!A:Y,25,FALSE)</f>
        <v>#N/A</v>
      </c>
      <c r="S110" s="143"/>
      <c r="V110" s="144"/>
      <c r="W110" s="145"/>
    </row>
    <row r="111" spans="1:23" ht="16.5" customHeight="1">
      <c r="A111" s="478" t="s">
        <v>16</v>
      </c>
      <c r="B111" s="442">
        <v>311</v>
      </c>
      <c r="C111" s="429" t="str">
        <f>VLOOKUP(B111,'Data pick slip'!B:F,5,FALSE)</f>
        <v>KHY-M7710-A4</v>
      </c>
      <c r="F111" s="170" t="s">
        <v>1647</v>
      </c>
      <c r="G111" s="146" t="s">
        <v>1629</v>
      </c>
      <c r="H111" s="146" t="s">
        <v>73</v>
      </c>
      <c r="J111" s="138">
        <v>2057</v>
      </c>
      <c r="K111" s="140" t="e">
        <f>VLOOKUP(J111,Stock_list!A:R,18,FALSE)</f>
        <v>#N/A</v>
      </c>
      <c r="L111" s="139" t="e">
        <f>VLOOKUP(J111,Stock_list!A:S,17,FALSE)</f>
        <v>#N/A</v>
      </c>
      <c r="M111" s="51" t="e">
        <f>VLOOKUP(J111,Stock_list!A:T,16,FALSE)</f>
        <v>#N/A</v>
      </c>
      <c r="N111" s="4">
        <v>45313</v>
      </c>
      <c r="O111" s="140">
        <v>6</v>
      </c>
      <c r="R111" s="4" t="e">
        <f>VLOOKUP(J111,Stock_list!A:Y,25,FALSE)</f>
        <v>#N/A</v>
      </c>
      <c r="S111" s="143"/>
      <c r="V111" s="144"/>
      <c r="W111" s="145"/>
    </row>
    <row r="112" spans="1:23" ht="16.5" customHeight="1">
      <c r="A112" s="478" t="s">
        <v>16</v>
      </c>
      <c r="B112" s="442">
        <v>311</v>
      </c>
      <c r="C112" s="429" t="str">
        <f>VLOOKUP(B112,'Data pick slip'!B:F,5,FALSE)</f>
        <v>KHY-M7710-A4</v>
      </c>
      <c r="F112" s="170" t="s">
        <v>1632</v>
      </c>
      <c r="G112" s="146" t="s">
        <v>1629</v>
      </c>
      <c r="H112" s="146" t="s">
        <v>73</v>
      </c>
      <c r="J112" s="138">
        <v>2057</v>
      </c>
      <c r="K112" s="140" t="e">
        <f>VLOOKUP(J112,Stock_list!A:R,18,FALSE)</f>
        <v>#N/A</v>
      </c>
      <c r="L112" s="139" t="e">
        <f>VLOOKUP(J112,Stock_list!A:S,17,FALSE)</f>
        <v>#N/A</v>
      </c>
      <c r="M112" s="51" t="e">
        <f>VLOOKUP(J112,Stock_list!A:T,16,FALSE)</f>
        <v>#N/A</v>
      </c>
      <c r="N112" s="4">
        <v>45313</v>
      </c>
      <c r="O112" s="140">
        <v>44</v>
      </c>
      <c r="R112" s="4" t="e">
        <f>VLOOKUP(J112,Stock_list!A:Y,25,FALSE)</f>
        <v>#N/A</v>
      </c>
      <c r="S112" s="143"/>
      <c r="U112" s="123" t="s">
        <v>1844</v>
      </c>
      <c r="V112" s="144"/>
      <c r="W112" s="145"/>
    </row>
    <row r="113" spans="1:23" ht="16.5" customHeight="1">
      <c r="A113" s="478" t="s">
        <v>212</v>
      </c>
      <c r="B113" s="442">
        <v>301</v>
      </c>
      <c r="C113" s="429" t="str">
        <f>VLOOKUP(B113,'Data pick slip'!B:F,5,FALSE)</f>
        <v>KHN-M7710-A4</v>
      </c>
      <c r="D113" s="545" t="s">
        <v>1654</v>
      </c>
      <c r="F113" s="170" t="s">
        <v>1647</v>
      </c>
      <c r="G113" s="146" t="s">
        <v>1627</v>
      </c>
      <c r="H113" s="146" t="s">
        <v>73</v>
      </c>
      <c r="J113" s="138">
        <v>2057</v>
      </c>
      <c r="K113" s="140" t="e">
        <f>VLOOKUP(J113,Stock_list!A:R,18,FALSE)</f>
        <v>#N/A</v>
      </c>
      <c r="L113" s="139" t="e">
        <f>VLOOKUP(J113,Stock_list!A:S,17,FALSE)</f>
        <v>#N/A</v>
      </c>
      <c r="M113" s="51" t="e">
        <f>VLOOKUP(J113,Stock_list!A:T,16,FALSE)</f>
        <v>#N/A</v>
      </c>
      <c r="N113" s="4">
        <v>45313</v>
      </c>
      <c r="O113" s="140">
        <v>50</v>
      </c>
      <c r="R113" s="4" t="e">
        <f>VLOOKUP(J113,Stock_list!A:Y,25,FALSE)</f>
        <v>#N/A</v>
      </c>
      <c r="S113" s="143"/>
      <c r="V113" s="144"/>
      <c r="W113" s="145"/>
    </row>
    <row r="114" spans="1:23" ht="16.5" customHeight="1">
      <c r="A114" s="478" t="s">
        <v>16</v>
      </c>
      <c r="B114" s="442">
        <v>301</v>
      </c>
      <c r="C114" s="429" t="str">
        <f>VLOOKUP(B114,'Data pick slip'!B:F,5,FALSE)</f>
        <v>KHN-M7710-A4</v>
      </c>
      <c r="F114" s="170" t="s">
        <v>1647</v>
      </c>
      <c r="G114" s="146" t="s">
        <v>1627</v>
      </c>
      <c r="H114" s="146" t="s">
        <v>73</v>
      </c>
      <c r="J114" s="138">
        <v>2050</v>
      </c>
      <c r="K114" s="140" t="e">
        <f>VLOOKUP(J114,Stock_list!A:R,18,FALSE)</f>
        <v>#N/A</v>
      </c>
      <c r="L114" s="139" t="e">
        <f>VLOOKUP(J114,Stock_list!A:S,17,FALSE)</f>
        <v>#N/A</v>
      </c>
      <c r="M114" s="51" t="e">
        <f>VLOOKUP(J114,Stock_list!A:T,16,FALSE)</f>
        <v>#N/A</v>
      </c>
      <c r="N114" s="4">
        <v>45346</v>
      </c>
      <c r="O114" s="140">
        <v>32</v>
      </c>
      <c r="R114" s="4" t="e">
        <f>VLOOKUP(J114,Stock_list!A:Y,25,FALSE)</f>
        <v>#N/A</v>
      </c>
      <c r="S114" s="143"/>
      <c r="V114" s="144"/>
      <c r="W114" s="145"/>
    </row>
    <row r="115" spans="1:23" ht="16.5" customHeight="1">
      <c r="A115" s="478" t="s">
        <v>16</v>
      </c>
      <c r="B115" s="442">
        <v>302</v>
      </c>
      <c r="C115" s="429" t="str">
        <f>VLOOKUP(B115,'Data pick slip'!B:F,5,FALSE)</f>
        <v>KHN-M7720-A3</v>
      </c>
      <c r="F115" s="170" t="s">
        <v>1647</v>
      </c>
      <c r="G115" s="146" t="s">
        <v>1629</v>
      </c>
      <c r="H115" s="146" t="s">
        <v>73</v>
      </c>
      <c r="J115" s="138">
        <v>2050</v>
      </c>
      <c r="K115" s="140" t="e">
        <f>VLOOKUP(J115,Stock_list!A:R,18,FALSE)</f>
        <v>#N/A</v>
      </c>
      <c r="L115" s="139" t="e">
        <f>VLOOKUP(J115,Stock_list!A:S,17,FALSE)</f>
        <v>#N/A</v>
      </c>
      <c r="M115" s="51" t="e">
        <f>VLOOKUP(J115,Stock_list!A:T,16,FALSE)</f>
        <v>#N/A</v>
      </c>
      <c r="N115" s="4"/>
      <c r="O115" s="140">
        <v>12</v>
      </c>
      <c r="R115" s="4" t="e">
        <f>VLOOKUP(J115,Stock_list!A:Y,25,FALSE)</f>
        <v>#N/A</v>
      </c>
      <c r="S115" s="143"/>
      <c r="V115" s="144"/>
      <c r="W115" s="145"/>
    </row>
    <row r="116" spans="1:23" ht="16.5" customHeight="1">
      <c r="A116" s="478" t="s">
        <v>16</v>
      </c>
      <c r="B116" s="442">
        <v>304</v>
      </c>
      <c r="C116" s="429" t="str">
        <f>VLOOKUP(B116,'Data pick slip'!B:F,5,FALSE)</f>
        <v>KHY-M7750-A0</v>
      </c>
      <c r="F116" s="170" t="s">
        <v>1647</v>
      </c>
      <c r="G116" s="146" t="s">
        <v>1629</v>
      </c>
      <c r="H116" s="146" t="s">
        <v>73</v>
      </c>
      <c r="J116" s="138">
        <v>2050</v>
      </c>
      <c r="K116" s="140" t="e">
        <f>VLOOKUP(J116,Stock_list!A:R,18,FALSE)</f>
        <v>#N/A</v>
      </c>
      <c r="L116" s="139" t="e">
        <f>VLOOKUP(J116,Stock_list!A:S,17,FALSE)</f>
        <v>#N/A</v>
      </c>
      <c r="M116" s="51" t="e">
        <f>VLOOKUP(J116,Stock_list!A:T,16,FALSE)</f>
        <v>#N/A</v>
      </c>
      <c r="N116" s="4"/>
      <c r="O116" s="140">
        <v>6</v>
      </c>
      <c r="R116" s="4" t="e">
        <f>VLOOKUP(J116,Stock_list!A:Y,25,FALSE)</f>
        <v>#N/A</v>
      </c>
      <c r="S116" s="143"/>
      <c r="V116" s="144"/>
      <c r="W116" s="145"/>
    </row>
    <row r="117" spans="1:23" ht="16.5" customHeight="1">
      <c r="A117" s="478" t="s">
        <v>16</v>
      </c>
      <c r="B117" s="442">
        <v>311</v>
      </c>
      <c r="C117" s="429" t="str">
        <f>VLOOKUP(B117,'Data pick slip'!B:F,5,FALSE)</f>
        <v>KHY-M7710-A4</v>
      </c>
      <c r="F117" s="170" t="s">
        <v>1632</v>
      </c>
      <c r="G117" s="146" t="s">
        <v>1629</v>
      </c>
      <c r="H117" s="146" t="s">
        <v>73</v>
      </c>
      <c r="J117" s="138">
        <v>2050</v>
      </c>
      <c r="K117" s="140" t="e">
        <f>VLOOKUP(J117,Stock_list!A:R,18,FALSE)</f>
        <v>#N/A</v>
      </c>
      <c r="L117" s="139" t="e">
        <f>VLOOKUP(J117,Stock_list!A:S,17,FALSE)</f>
        <v>#N/A</v>
      </c>
      <c r="M117" s="51" t="e">
        <f>VLOOKUP(J117,Stock_list!A:T,16,FALSE)</f>
        <v>#N/A</v>
      </c>
      <c r="N117" s="4">
        <v>45314</v>
      </c>
      <c r="O117" s="140">
        <v>30</v>
      </c>
      <c r="R117" s="4" t="e">
        <f>VLOOKUP(J117,Stock_list!A:Y,25,FALSE)</f>
        <v>#N/A</v>
      </c>
      <c r="S117" s="143"/>
      <c r="U117" s="123" t="s">
        <v>1846</v>
      </c>
      <c r="V117" s="144"/>
      <c r="W117" s="145"/>
    </row>
    <row r="118" spans="1:23" ht="16.5" customHeight="1">
      <c r="A118" s="478" t="s">
        <v>212</v>
      </c>
      <c r="B118" s="442">
        <v>301</v>
      </c>
      <c r="C118" s="429" t="str">
        <f>VLOOKUP(B118,'Data pick slip'!B:F,5,FALSE)</f>
        <v>KHN-M7710-A4</v>
      </c>
      <c r="D118" s="545" t="s">
        <v>1654</v>
      </c>
      <c r="F118" s="170" t="s">
        <v>1647</v>
      </c>
      <c r="G118" s="146" t="s">
        <v>1627</v>
      </c>
      <c r="H118" s="146" t="s">
        <v>73</v>
      </c>
      <c r="J118" s="138">
        <v>2050</v>
      </c>
      <c r="K118" s="140" t="e">
        <f>VLOOKUP(J118,Stock_list!A:R,18,FALSE)</f>
        <v>#N/A</v>
      </c>
      <c r="L118" s="139" t="e">
        <f>VLOOKUP(J118,Stock_list!A:S,17,FALSE)</f>
        <v>#N/A</v>
      </c>
      <c r="M118" s="51" t="e">
        <f>VLOOKUP(J118,Stock_list!A:T,16,FALSE)</f>
        <v>#N/A</v>
      </c>
      <c r="N118" s="4">
        <v>45346</v>
      </c>
      <c r="O118" s="140">
        <v>48</v>
      </c>
      <c r="R118" s="4" t="e">
        <f>VLOOKUP(J118,Stock_list!A:Y,25,FALSE)</f>
        <v>#N/A</v>
      </c>
      <c r="S118" s="143"/>
      <c r="V118" s="144"/>
      <c r="W118" s="145"/>
    </row>
    <row r="119" spans="1:23" ht="16.5" customHeight="1">
      <c r="A119" s="478" t="s">
        <v>16</v>
      </c>
      <c r="B119" s="442">
        <v>311</v>
      </c>
      <c r="C119" s="429" t="str">
        <f>VLOOKUP(B119,'Data pick slip'!B:F,5,FALSE)</f>
        <v>KHY-M7710-A4</v>
      </c>
      <c r="F119" s="170" t="s">
        <v>1632</v>
      </c>
      <c r="G119" s="146" t="s">
        <v>1629</v>
      </c>
      <c r="H119" s="146" t="s">
        <v>73</v>
      </c>
      <c r="J119" s="138">
        <v>2063</v>
      </c>
      <c r="K119" s="140" t="e">
        <f>VLOOKUP(J119,Stock_list!A:R,18,FALSE)</f>
        <v>#N/A</v>
      </c>
      <c r="L119" s="139" t="e">
        <f>VLOOKUP(J119,Stock_list!A:S,17,FALSE)</f>
        <v>#N/A</v>
      </c>
      <c r="M119" s="51" t="e">
        <f>VLOOKUP(J119,Stock_list!A:T,16,FALSE)</f>
        <v>#N/A</v>
      </c>
      <c r="N119" s="4">
        <v>45320</v>
      </c>
      <c r="O119" s="140">
        <v>20</v>
      </c>
      <c r="R119" s="4" t="e">
        <f>VLOOKUP(J119,Stock_list!A:Y,25,FALSE)</f>
        <v>#N/A</v>
      </c>
      <c r="S119" s="143"/>
      <c r="U119" s="123" t="s">
        <v>1854</v>
      </c>
      <c r="V119" s="144"/>
      <c r="W119" s="145"/>
    </row>
    <row r="120" spans="1:23" ht="16.5" customHeight="1">
      <c r="A120" s="478" t="s">
        <v>212</v>
      </c>
      <c r="B120" s="442">
        <v>301</v>
      </c>
      <c r="C120" s="429" t="str">
        <f>VLOOKUP(B120,'Data pick slip'!B:F,5,FALSE)</f>
        <v>KHN-M7710-A4</v>
      </c>
      <c r="D120" s="545" t="s">
        <v>1654</v>
      </c>
      <c r="F120" s="170" t="s">
        <v>1647</v>
      </c>
      <c r="G120" s="146" t="s">
        <v>1627</v>
      </c>
      <c r="H120" s="146" t="s">
        <v>73</v>
      </c>
      <c r="J120" s="138">
        <v>2063</v>
      </c>
      <c r="K120" s="140" t="e">
        <f>VLOOKUP(J120,Stock_list!A:R,18,FALSE)</f>
        <v>#N/A</v>
      </c>
      <c r="L120" s="139" t="e">
        <f>VLOOKUP(J120,Stock_list!A:S,17,FALSE)</f>
        <v>#N/A</v>
      </c>
      <c r="M120" s="51" t="e">
        <f>VLOOKUP(J120,Stock_list!A:T,16,FALSE)</f>
        <v>#N/A</v>
      </c>
      <c r="N120" s="4">
        <v>45320</v>
      </c>
      <c r="O120" s="140">
        <v>20</v>
      </c>
      <c r="R120" s="4" t="e">
        <f>VLOOKUP(J120,Stock_list!A:Y,25,FALSE)</f>
        <v>#N/A</v>
      </c>
      <c r="S120" s="143"/>
      <c r="V120" s="144"/>
      <c r="W120" s="145"/>
    </row>
    <row r="121" spans="1:23" ht="16.5" customHeight="1">
      <c r="A121" s="478" t="s">
        <v>16</v>
      </c>
      <c r="B121" s="442">
        <v>311</v>
      </c>
      <c r="C121" s="429" t="str">
        <f>VLOOKUP(B121,'Data pick slip'!B:F,5,FALSE)</f>
        <v>KHY-M7710-A4</v>
      </c>
      <c r="F121" s="170" t="s">
        <v>1632</v>
      </c>
      <c r="G121" s="146" t="s">
        <v>1629</v>
      </c>
      <c r="H121" s="146" t="s">
        <v>73</v>
      </c>
      <c r="J121" s="138">
        <v>2045</v>
      </c>
      <c r="K121" s="140" t="e">
        <f>VLOOKUP(J121,Stock_list!A:R,18,FALSE)</f>
        <v>#N/A</v>
      </c>
      <c r="L121" s="139" t="e">
        <f>VLOOKUP(J121,Stock_list!A:S,17,FALSE)</f>
        <v>#N/A</v>
      </c>
      <c r="M121" s="51" t="e">
        <f>VLOOKUP(J121,Stock_list!A:T,16,FALSE)</f>
        <v>#N/A</v>
      </c>
      <c r="N121" s="4">
        <v>45315</v>
      </c>
      <c r="O121" s="140">
        <v>10</v>
      </c>
      <c r="R121" s="4" t="e">
        <f>VLOOKUP(J121,Stock_list!A:Y,25,FALSE)</f>
        <v>#N/A</v>
      </c>
      <c r="S121" s="143"/>
      <c r="U121" s="123" t="s">
        <v>1738</v>
      </c>
      <c r="V121" s="144"/>
      <c r="W121" s="145"/>
    </row>
    <row r="122" spans="1:23" ht="16.5" customHeight="1">
      <c r="A122" s="478" t="s">
        <v>212</v>
      </c>
      <c r="B122" s="442">
        <v>301</v>
      </c>
      <c r="C122" s="429" t="str">
        <f>VLOOKUP(B122,'Data pick slip'!B:F,5,FALSE)</f>
        <v>KHN-M7710-A4</v>
      </c>
      <c r="F122" s="170" t="s">
        <v>1855</v>
      </c>
      <c r="G122" s="146" t="s">
        <v>1627</v>
      </c>
      <c r="H122" s="146" t="s">
        <v>73</v>
      </c>
      <c r="J122" s="138">
        <v>2045</v>
      </c>
      <c r="K122" s="140" t="e">
        <f>VLOOKUP(J122,Stock_list!A:R,18,FALSE)</f>
        <v>#N/A</v>
      </c>
      <c r="L122" s="139" t="e">
        <f>VLOOKUP(J122,Stock_list!A:S,17,FALSE)</f>
        <v>#N/A</v>
      </c>
      <c r="M122" s="51" t="e">
        <f>VLOOKUP(J122,Stock_list!A:T,16,FALSE)</f>
        <v>#N/A</v>
      </c>
      <c r="N122" s="4">
        <v>45345</v>
      </c>
      <c r="O122" s="140">
        <v>15</v>
      </c>
      <c r="R122" s="4" t="e">
        <f>VLOOKUP(J122,Stock_list!A:Y,25,FALSE)</f>
        <v>#N/A</v>
      </c>
      <c r="S122" s="143"/>
      <c r="V122" s="144"/>
      <c r="W122" s="145"/>
    </row>
    <row r="123" spans="1:23" ht="16.5" customHeight="1">
      <c r="A123" s="478" t="s">
        <v>212</v>
      </c>
      <c r="B123" s="442">
        <v>301</v>
      </c>
      <c r="C123" s="429" t="str">
        <f>VLOOKUP(B123,'Data pick slip'!B:F,5,FALSE)</f>
        <v>KHN-M7710-A4</v>
      </c>
      <c r="F123" s="170" t="s">
        <v>1855</v>
      </c>
      <c r="G123" s="146" t="s">
        <v>1629</v>
      </c>
      <c r="H123" s="146" t="s">
        <v>73</v>
      </c>
      <c r="J123" s="138">
        <v>2045</v>
      </c>
      <c r="K123" s="140" t="e">
        <f>VLOOKUP(J123,Stock_list!A:R,18,FALSE)</f>
        <v>#N/A</v>
      </c>
      <c r="L123" s="139" t="e">
        <f>VLOOKUP(J123,Stock_list!A:S,17,FALSE)</f>
        <v>#N/A</v>
      </c>
      <c r="M123" s="51" t="e">
        <f>VLOOKUP(J123,Stock_list!A:T,16,FALSE)</f>
        <v>#N/A</v>
      </c>
      <c r="N123" s="4">
        <v>45345</v>
      </c>
      <c r="O123" s="140">
        <v>5</v>
      </c>
      <c r="R123" s="4" t="e">
        <f>VLOOKUP(J123,Stock_list!A:Y,25,FALSE)</f>
        <v>#N/A</v>
      </c>
      <c r="S123" s="143"/>
      <c r="V123" s="144"/>
      <c r="W123" s="145"/>
    </row>
    <row r="124" spans="1:23" ht="16.5" customHeight="1">
      <c r="A124" s="478" t="s">
        <v>1856</v>
      </c>
      <c r="B124" s="442">
        <v>302</v>
      </c>
      <c r="C124" s="429" t="str">
        <f>VLOOKUP(B124,'Data pick slip'!B:F,5,FALSE)</f>
        <v>KHN-M7720-A3</v>
      </c>
      <c r="D124" s="545" t="s">
        <v>1654</v>
      </c>
      <c r="F124" s="170" t="s">
        <v>1855</v>
      </c>
      <c r="G124" s="146" t="s">
        <v>1627</v>
      </c>
      <c r="H124" s="146" t="s">
        <v>73</v>
      </c>
      <c r="J124" s="138">
        <v>2045</v>
      </c>
      <c r="K124" s="140" t="e">
        <f>VLOOKUP(J124,Stock_list!A:R,18,FALSE)</f>
        <v>#N/A</v>
      </c>
      <c r="L124" s="139" t="e">
        <f>VLOOKUP(J124,Stock_list!A:S,17,FALSE)</f>
        <v>#N/A</v>
      </c>
      <c r="M124" s="51" t="e">
        <f>VLOOKUP(J124,Stock_list!A:T,16,FALSE)</f>
        <v>#N/A</v>
      </c>
      <c r="N124" s="4"/>
      <c r="O124" s="140">
        <v>15</v>
      </c>
      <c r="R124" s="4" t="e">
        <f>VLOOKUP(J124,Stock_list!A:Y,25,FALSE)</f>
        <v>#N/A</v>
      </c>
      <c r="S124" s="143"/>
      <c r="V124" s="144"/>
      <c r="W124" s="145"/>
    </row>
    <row r="125" spans="1:23" ht="16.5" customHeight="1">
      <c r="A125" s="478" t="s">
        <v>1859</v>
      </c>
      <c r="B125" s="442">
        <v>312</v>
      </c>
      <c r="C125" s="429" t="str">
        <f>VLOOKUP(B125,'Data pick slip'!B:F,5,FALSE)</f>
        <v>KHY-M7720-A3</v>
      </c>
      <c r="F125" s="170" t="s">
        <v>1634</v>
      </c>
      <c r="G125" s="146" t="s">
        <v>1629</v>
      </c>
      <c r="H125" s="146" t="s">
        <v>73</v>
      </c>
      <c r="J125" s="138">
        <v>2081</v>
      </c>
      <c r="K125" s="140" t="e">
        <f>VLOOKUP(J125,Stock_list!A:R,18,FALSE)</f>
        <v>#N/A</v>
      </c>
      <c r="L125" s="139" t="e">
        <f>VLOOKUP(J125,Stock_list!A:S,17,FALSE)</f>
        <v>#N/A</v>
      </c>
      <c r="M125" s="51" t="e">
        <f>VLOOKUP(J125,Stock_list!A:T,16,FALSE)</f>
        <v>#N/A</v>
      </c>
      <c r="N125" s="4"/>
      <c r="O125" s="140">
        <v>80</v>
      </c>
      <c r="R125" s="4" t="e">
        <f>VLOOKUP(J125,Stock_list!A:Y,25,FALSE)</f>
        <v>#N/A</v>
      </c>
      <c r="S125" s="143"/>
      <c r="V125" s="144"/>
      <c r="W125" s="145"/>
    </row>
    <row r="126" spans="1:23" ht="16.5" customHeight="1">
      <c r="A126" s="478" t="s">
        <v>212</v>
      </c>
      <c r="B126" s="442">
        <v>302</v>
      </c>
      <c r="C126" s="429" t="str">
        <f>VLOOKUP(B126,'Data pick slip'!B:F,5,FALSE)</f>
        <v>KHN-M7720-A3</v>
      </c>
      <c r="D126" s="545" t="s">
        <v>1654</v>
      </c>
      <c r="F126" s="170" t="s">
        <v>1634</v>
      </c>
      <c r="G126" s="146" t="s">
        <v>1627</v>
      </c>
      <c r="H126" s="146" t="s">
        <v>73</v>
      </c>
      <c r="J126" s="138">
        <v>2081</v>
      </c>
      <c r="K126" s="140" t="e">
        <f>VLOOKUP(J126,Stock_list!A:R,18,FALSE)</f>
        <v>#N/A</v>
      </c>
      <c r="L126" s="139" t="e">
        <f>VLOOKUP(J126,Stock_list!A:S,17,FALSE)</f>
        <v>#N/A</v>
      </c>
      <c r="M126" s="51" t="e">
        <f>VLOOKUP(J126,Stock_list!A:T,16,FALSE)</f>
        <v>#N/A</v>
      </c>
      <c r="N126" s="4"/>
      <c r="O126" s="140">
        <v>40</v>
      </c>
      <c r="R126" s="4" t="e">
        <f>VLOOKUP(J126,Stock_list!A:Y,25,FALSE)</f>
        <v>#N/A</v>
      </c>
      <c r="S126" s="143"/>
      <c r="V126" s="144"/>
      <c r="W126" s="145"/>
    </row>
    <row r="127" spans="1:23" ht="16.5" customHeight="1">
      <c r="A127" s="478" t="s">
        <v>212</v>
      </c>
      <c r="B127" s="442">
        <v>301</v>
      </c>
      <c r="C127" s="429" t="str">
        <f>VLOOKUP(B127,'Data pick slip'!B:F,5,FALSE)</f>
        <v>KHN-M7710-A4</v>
      </c>
      <c r="D127" s="545" t="s">
        <v>1654</v>
      </c>
      <c r="F127" s="170" t="s">
        <v>1647</v>
      </c>
      <c r="G127" s="146" t="s">
        <v>1627</v>
      </c>
      <c r="H127" s="146" t="s">
        <v>73</v>
      </c>
      <c r="J127" s="138">
        <v>2081</v>
      </c>
      <c r="K127" s="140" t="e">
        <f>VLOOKUP(J127,Stock_list!A:R,18,FALSE)</f>
        <v>#N/A</v>
      </c>
      <c r="L127" s="139" t="e">
        <f>VLOOKUP(J127,Stock_list!A:S,17,FALSE)</f>
        <v>#N/A</v>
      </c>
      <c r="M127" s="51" t="e">
        <f>VLOOKUP(J127,Stock_list!A:T,16,FALSE)</f>
        <v>#N/A</v>
      </c>
      <c r="N127" s="4">
        <v>45323</v>
      </c>
      <c r="O127" s="140">
        <v>40</v>
      </c>
      <c r="R127" s="4" t="e">
        <f>VLOOKUP(J127,Stock_list!A:Y,25,FALSE)</f>
        <v>#N/A</v>
      </c>
      <c r="S127" s="143"/>
      <c r="V127" s="144"/>
      <c r="W127" s="145"/>
    </row>
    <row r="128" spans="1:23" ht="16.5" customHeight="1">
      <c r="A128" s="478" t="s">
        <v>212</v>
      </c>
      <c r="B128" s="442">
        <v>301</v>
      </c>
      <c r="C128" s="429" t="str">
        <f>VLOOKUP(B128,'Data pick slip'!B:F,5,FALSE)</f>
        <v>KHN-M7710-A4</v>
      </c>
      <c r="F128" s="170" t="s">
        <v>1634</v>
      </c>
      <c r="G128" s="146" t="s">
        <v>1627</v>
      </c>
      <c r="H128" s="146" t="s">
        <v>73</v>
      </c>
      <c r="J128" s="138">
        <v>2017</v>
      </c>
      <c r="K128" s="140" t="e">
        <f>VLOOKUP(J128,Stock_list!A:R,18,FALSE)</f>
        <v>#N/A</v>
      </c>
      <c r="L128" s="139" t="e">
        <f>VLOOKUP(J128,Stock_list!A:S,17,FALSE)</f>
        <v>#N/A</v>
      </c>
      <c r="M128" s="51" t="e">
        <f>VLOOKUP(J128,Stock_list!A:T,16,FALSE)</f>
        <v>#N/A</v>
      </c>
      <c r="N128" s="4">
        <v>45324</v>
      </c>
      <c r="O128" s="140">
        <v>95</v>
      </c>
      <c r="R128" s="4" t="e">
        <f>VLOOKUP(J128,Stock_list!A:Y,25,FALSE)</f>
        <v>#N/A</v>
      </c>
      <c r="S128" s="143"/>
      <c r="V128" s="144"/>
      <c r="W128" s="145"/>
    </row>
    <row r="129" spans="1:23" ht="16.5" customHeight="1">
      <c r="A129" s="478" t="s">
        <v>212</v>
      </c>
      <c r="B129" s="442">
        <v>301</v>
      </c>
      <c r="C129" s="429" t="str">
        <f>VLOOKUP(B129,'Data pick slip'!B:F,5,FALSE)</f>
        <v>KHN-M7710-A4</v>
      </c>
      <c r="D129" s="545" t="s">
        <v>1654</v>
      </c>
      <c r="F129" s="170" t="s">
        <v>1634</v>
      </c>
      <c r="G129" s="146" t="s">
        <v>1627</v>
      </c>
      <c r="H129" s="146" t="s">
        <v>73</v>
      </c>
      <c r="J129" s="138">
        <v>2017</v>
      </c>
      <c r="K129" s="140" t="e">
        <f>VLOOKUP(J129,Stock_list!A:R,18,FALSE)</f>
        <v>#N/A</v>
      </c>
      <c r="L129" s="139" t="e">
        <f>VLOOKUP(J129,Stock_list!A:S,17,FALSE)</f>
        <v>#N/A</v>
      </c>
      <c r="M129" s="51" t="e">
        <f>VLOOKUP(J129,Stock_list!A:T,16,FALSE)</f>
        <v>#N/A</v>
      </c>
      <c r="N129" s="4">
        <v>45324</v>
      </c>
      <c r="O129" s="140">
        <v>65</v>
      </c>
      <c r="R129" s="4" t="e">
        <f>VLOOKUP(J129,Stock_list!A:Y,25,FALSE)</f>
        <v>#N/A</v>
      </c>
      <c r="S129" s="143"/>
      <c r="V129" s="144"/>
      <c r="W129" s="145"/>
    </row>
    <row r="130" spans="1:23" ht="16.5" customHeight="1">
      <c r="A130" s="478" t="s">
        <v>212</v>
      </c>
      <c r="B130" s="442">
        <v>302</v>
      </c>
      <c r="C130" s="429" t="str">
        <f>VLOOKUP(B130,'Data pick slip'!B:F,5,FALSE)</f>
        <v>KHN-M7720-A3</v>
      </c>
      <c r="F130" s="170" t="s">
        <v>1634</v>
      </c>
      <c r="G130" s="146" t="s">
        <v>1629</v>
      </c>
      <c r="H130" s="146" t="s">
        <v>73</v>
      </c>
      <c r="J130" s="138">
        <v>2017</v>
      </c>
      <c r="K130" s="140" t="e">
        <f>VLOOKUP(J130,Stock_list!A:R,18,FALSE)</f>
        <v>#N/A</v>
      </c>
      <c r="L130" s="139" t="e">
        <f>VLOOKUP(J130,Stock_list!A:S,17,FALSE)</f>
        <v>#N/A</v>
      </c>
      <c r="M130" s="51" t="e">
        <f>VLOOKUP(J130,Stock_list!A:T,16,FALSE)</f>
        <v>#N/A</v>
      </c>
      <c r="N130" s="4"/>
      <c r="O130" s="140">
        <v>95</v>
      </c>
      <c r="R130" s="4" t="e">
        <f>VLOOKUP(J130,Stock_list!A:Y,25,FALSE)</f>
        <v>#N/A</v>
      </c>
      <c r="S130" s="143"/>
      <c r="V130" s="144"/>
      <c r="W130" s="145"/>
    </row>
    <row r="131" spans="1:23" ht="16.5" customHeight="1">
      <c r="A131" s="478" t="s">
        <v>212</v>
      </c>
      <c r="B131" s="442">
        <v>303</v>
      </c>
      <c r="C131" s="429" t="str">
        <f>VLOOKUP(B131,'Data pick slip'!B:F,5,FALSE)</f>
        <v>KHY-M7740-A0</v>
      </c>
      <c r="F131" s="170" t="s">
        <v>1634</v>
      </c>
      <c r="G131" s="146" t="s">
        <v>1629</v>
      </c>
      <c r="H131" s="146" t="s">
        <v>73</v>
      </c>
      <c r="J131" s="138">
        <v>2017</v>
      </c>
      <c r="K131" s="140" t="e">
        <f>VLOOKUP(J131,Stock_list!A:R,18,FALSE)</f>
        <v>#N/A</v>
      </c>
      <c r="L131" s="139" t="e">
        <f>VLOOKUP(J131,Stock_list!A:S,17,FALSE)</f>
        <v>#N/A</v>
      </c>
      <c r="M131" s="51" t="e">
        <f>VLOOKUP(J131,Stock_list!A:T,16,FALSE)</f>
        <v>#N/A</v>
      </c>
      <c r="N131" s="4"/>
      <c r="O131" s="140">
        <v>8</v>
      </c>
      <c r="R131" s="4" t="e">
        <f>VLOOKUP(J131,Stock_list!A:Y,25,FALSE)</f>
        <v>#N/A</v>
      </c>
      <c r="S131" s="143"/>
      <c r="V131" s="144"/>
      <c r="W131" s="145"/>
    </row>
    <row r="132" spans="1:23" ht="16.5" customHeight="1">
      <c r="A132" s="478" t="s">
        <v>212</v>
      </c>
      <c r="B132" s="442">
        <v>303</v>
      </c>
      <c r="C132" s="429" t="str">
        <f>VLOOKUP(B132,'Data pick slip'!B:F,5,FALSE)</f>
        <v>KHY-M7740-A0</v>
      </c>
      <c r="F132" s="170" t="s">
        <v>1632</v>
      </c>
      <c r="G132" s="146" t="s">
        <v>1629</v>
      </c>
      <c r="H132" s="146" t="s">
        <v>73</v>
      </c>
      <c r="J132" s="138">
        <v>2017</v>
      </c>
      <c r="K132" s="140" t="e">
        <f>VLOOKUP(J132,Stock_list!A:R,18,FALSE)</f>
        <v>#N/A</v>
      </c>
      <c r="L132" s="139" t="e">
        <f>VLOOKUP(J132,Stock_list!A:S,17,FALSE)</f>
        <v>#N/A</v>
      </c>
      <c r="M132" s="51" t="e">
        <f>VLOOKUP(J132,Stock_list!A:T,16,FALSE)</f>
        <v>#N/A</v>
      </c>
      <c r="N132" s="4"/>
      <c r="O132" s="140">
        <v>14</v>
      </c>
      <c r="R132" s="4" t="e">
        <f>VLOOKUP(J132,Stock_list!A:Y,25,FALSE)</f>
        <v>#N/A</v>
      </c>
      <c r="S132" s="143"/>
      <c r="U132" s="123" t="s">
        <v>1857</v>
      </c>
      <c r="V132" s="144"/>
      <c r="W132" s="145"/>
    </row>
    <row r="133" spans="1:23" ht="16.5" customHeight="1">
      <c r="A133" s="478" t="s">
        <v>212</v>
      </c>
      <c r="B133" s="442">
        <v>304</v>
      </c>
      <c r="C133" s="429" t="str">
        <f>VLOOKUP(B133,'Data pick slip'!B:F,5,FALSE)</f>
        <v>KHY-M7750-A0</v>
      </c>
      <c r="F133" s="170" t="s">
        <v>1634</v>
      </c>
      <c r="G133" s="146" t="s">
        <v>1629</v>
      </c>
      <c r="H133" s="146" t="s">
        <v>73</v>
      </c>
      <c r="J133" s="138">
        <v>2017</v>
      </c>
      <c r="K133" s="140" t="e">
        <f>VLOOKUP(J133,Stock_list!A:R,18,FALSE)</f>
        <v>#N/A</v>
      </c>
      <c r="L133" s="139" t="e">
        <f>VLOOKUP(J133,Stock_list!A:S,17,FALSE)</f>
        <v>#N/A</v>
      </c>
      <c r="M133" s="51" t="e">
        <f>VLOOKUP(J133,Stock_list!A:T,16,FALSE)</f>
        <v>#N/A</v>
      </c>
      <c r="N133" s="4"/>
      <c r="O133" s="140">
        <v>30</v>
      </c>
      <c r="R133" s="4" t="e">
        <f>VLOOKUP(J133,Stock_list!A:Y,25,FALSE)</f>
        <v>#N/A</v>
      </c>
      <c r="S133" s="143"/>
      <c r="V133" s="144"/>
      <c r="W133" s="145"/>
    </row>
    <row r="134" spans="1:23" ht="16.5" customHeight="1">
      <c r="A134" s="478" t="s">
        <v>16</v>
      </c>
      <c r="B134" s="442">
        <v>311</v>
      </c>
      <c r="C134" s="429" t="str">
        <f>VLOOKUP(B134,'Data pick slip'!B:F,5,FALSE)</f>
        <v>KHY-M7710-A4</v>
      </c>
      <c r="F134" s="170" t="s">
        <v>1632</v>
      </c>
      <c r="G134" s="146" t="s">
        <v>1629</v>
      </c>
      <c r="H134" s="146" t="s">
        <v>73</v>
      </c>
      <c r="J134" s="138">
        <v>2017</v>
      </c>
      <c r="K134" s="140" t="e">
        <f>VLOOKUP(J134,Stock_list!A:R,18,FALSE)</f>
        <v>#N/A</v>
      </c>
      <c r="L134" s="139" t="e">
        <f>VLOOKUP(J134,Stock_list!A:S,17,FALSE)</f>
        <v>#N/A</v>
      </c>
      <c r="M134" s="51" t="e">
        <f>VLOOKUP(J134,Stock_list!A:T,16,FALSE)</f>
        <v>#N/A</v>
      </c>
      <c r="N134" s="4">
        <v>45323</v>
      </c>
      <c r="O134" s="140">
        <v>95</v>
      </c>
      <c r="R134" s="4" t="e">
        <f>VLOOKUP(J134,Stock_list!A:Y,25,FALSE)</f>
        <v>#N/A</v>
      </c>
      <c r="S134" s="143"/>
      <c r="U134" s="123" t="s">
        <v>1857</v>
      </c>
      <c r="V134" s="144"/>
      <c r="W134" s="145"/>
    </row>
    <row r="135" spans="1:23" ht="16.5" customHeight="1">
      <c r="A135" s="478" t="s">
        <v>16</v>
      </c>
      <c r="B135" s="442">
        <v>312</v>
      </c>
      <c r="C135" s="429" t="str">
        <f>VLOOKUP(B135,'Data pick slip'!B:F,5,FALSE)</f>
        <v>KHY-M7720-A3</v>
      </c>
      <c r="F135" s="170" t="s">
        <v>1647</v>
      </c>
      <c r="G135" s="146" t="s">
        <v>1629</v>
      </c>
      <c r="H135" s="146" t="s">
        <v>73</v>
      </c>
      <c r="J135" s="138">
        <v>2017</v>
      </c>
      <c r="K135" s="140" t="e">
        <f>VLOOKUP(J135,Stock_list!A:R,18,FALSE)</f>
        <v>#N/A</v>
      </c>
      <c r="L135" s="139" t="e">
        <f>VLOOKUP(J135,Stock_list!A:S,17,FALSE)</f>
        <v>#N/A</v>
      </c>
      <c r="M135" s="51" t="e">
        <f>VLOOKUP(J135,Stock_list!A:T,16,FALSE)</f>
        <v>#N/A</v>
      </c>
      <c r="N135" s="4"/>
      <c r="O135" s="140">
        <v>23</v>
      </c>
      <c r="R135" s="4" t="e">
        <f>VLOOKUP(J135,Stock_list!A:Y,25,FALSE)</f>
        <v>#N/A</v>
      </c>
      <c r="S135" s="143"/>
      <c r="V135" s="144"/>
      <c r="W135" s="145"/>
    </row>
    <row r="136" spans="1:23" ht="17.25" customHeight="1">
      <c r="A136" s="478" t="s">
        <v>212</v>
      </c>
      <c r="B136" s="442">
        <v>301</v>
      </c>
      <c r="C136" s="429" t="str">
        <f>VLOOKUP(B136,'Data pick slip'!B:F,5,FALSE)</f>
        <v>KHN-M7710-A4</v>
      </c>
      <c r="F136" s="170" t="s">
        <v>1634</v>
      </c>
      <c r="G136" s="146" t="s">
        <v>1627</v>
      </c>
      <c r="H136" s="146" t="s">
        <v>73</v>
      </c>
      <c r="J136" s="138">
        <v>2000</v>
      </c>
      <c r="K136" s="140" t="e">
        <f>VLOOKUP(J136,Stock_list!A:R,18,FALSE)</f>
        <v>#N/A</v>
      </c>
      <c r="L136" s="139" t="e">
        <f>VLOOKUP(J136,Stock_list!A:S,17,FALSE)</f>
        <v>#N/A</v>
      </c>
      <c r="M136" s="51" t="e">
        <f>VLOOKUP(J136,Stock_list!A:T,16,FALSE)</f>
        <v>#N/A</v>
      </c>
      <c r="N136" s="4">
        <v>45300</v>
      </c>
      <c r="O136" s="140">
        <v>10</v>
      </c>
      <c r="R136" s="4" t="e">
        <f>VLOOKUP(J136,Stock_list!A:Y,25,FALSE)</f>
        <v>#N/A</v>
      </c>
      <c r="S136" s="143"/>
      <c r="V136" s="144"/>
      <c r="W136" s="145"/>
    </row>
    <row r="137" spans="1:23" ht="16.5" customHeight="1">
      <c r="A137" s="478" t="s">
        <v>16</v>
      </c>
      <c r="B137" s="442">
        <v>301</v>
      </c>
      <c r="C137" s="429" t="str">
        <f>VLOOKUP(B137,'Data pick slip'!B:F,5,FALSE)</f>
        <v>KHN-M7710-A4</v>
      </c>
      <c r="D137" s="545" t="s">
        <v>1873</v>
      </c>
      <c r="F137" s="170" t="s">
        <v>1647</v>
      </c>
      <c r="G137" s="146" t="s">
        <v>1629</v>
      </c>
      <c r="H137" s="146" t="s">
        <v>73</v>
      </c>
      <c r="K137" s="390" t="s">
        <v>1873</v>
      </c>
      <c r="L137" s="269" t="s">
        <v>1875</v>
      </c>
      <c r="M137" s="51" t="s">
        <v>1874</v>
      </c>
      <c r="N137" s="4"/>
      <c r="O137" s="140">
        <v>45</v>
      </c>
      <c r="R137" s="4" t="e">
        <f>VLOOKUP(J137,Stock_list!A:Y,25,FALSE)</f>
        <v>#N/A</v>
      </c>
      <c r="S137" s="143"/>
      <c r="V137" s="144"/>
      <c r="W137" s="145"/>
    </row>
    <row r="138" spans="1:23" ht="16.5" customHeight="1">
      <c r="A138" s="478" t="s">
        <v>16</v>
      </c>
      <c r="B138" s="442">
        <v>312</v>
      </c>
      <c r="C138" s="429" t="str">
        <f>VLOOKUP(B138,'Data pick slip'!B:F,5,FALSE)</f>
        <v>KHY-M7720-A3</v>
      </c>
      <c r="D138" s="545" t="s">
        <v>1873</v>
      </c>
      <c r="F138" s="170" t="s">
        <v>1647</v>
      </c>
      <c r="G138" s="146" t="s">
        <v>1629</v>
      </c>
      <c r="H138" s="146" t="s">
        <v>73</v>
      </c>
      <c r="K138" s="390" t="s">
        <v>1873</v>
      </c>
      <c r="L138" s="269" t="s">
        <v>1875</v>
      </c>
      <c r="M138" s="51" t="s">
        <v>1874</v>
      </c>
      <c r="N138" s="4"/>
      <c r="O138" s="140">
        <v>3</v>
      </c>
      <c r="R138" s="4" t="e">
        <f>VLOOKUP(J138,Stock_list!A:Y,25,FALSE)</f>
        <v>#N/A</v>
      </c>
      <c r="S138" s="143"/>
      <c r="V138" s="144"/>
      <c r="W138" s="145"/>
    </row>
    <row r="139" spans="1:23" ht="16.5" customHeight="1">
      <c r="C139" s="429" t="e">
        <f>VLOOKUP(B139,'Data pick slip'!B:F,5,FALSE)</f>
        <v>#N/A</v>
      </c>
      <c r="F139" s="170"/>
      <c r="K139" s="140" t="e">
        <f>VLOOKUP(J139,Stock_list!A:R,18,FALSE)</f>
        <v>#N/A</v>
      </c>
      <c r="L139" s="139" t="e">
        <f>VLOOKUP(J139,Stock_list!A:S,17,FALSE)</f>
        <v>#N/A</v>
      </c>
      <c r="M139" s="51" t="e">
        <f>VLOOKUP(J139,Stock_list!A:T,16,FALSE)</f>
        <v>#N/A</v>
      </c>
      <c r="N139" s="4"/>
      <c r="R139" s="4" t="e">
        <f>VLOOKUP(J139,Stock_list!A:Y,25,FALSE)</f>
        <v>#N/A</v>
      </c>
      <c r="S139" s="143"/>
      <c r="V139" s="144"/>
      <c r="W139" s="145"/>
    </row>
    <row r="140" spans="1:23" ht="16.5" customHeight="1">
      <c r="C140" s="429" t="e">
        <f>VLOOKUP(B140,'Data pick slip'!B:F,5,FALSE)</f>
        <v>#N/A</v>
      </c>
      <c r="F140" s="170"/>
      <c r="K140" s="140" t="e">
        <f>VLOOKUP(J140,Stock_list!A:R,18,FALSE)</f>
        <v>#N/A</v>
      </c>
      <c r="L140" s="139" t="e">
        <f>VLOOKUP(J140,Stock_list!A:S,17,FALSE)</f>
        <v>#N/A</v>
      </c>
      <c r="M140" s="51" t="e">
        <f>VLOOKUP(J140,Stock_list!A:T,16,FALSE)</f>
        <v>#N/A</v>
      </c>
      <c r="N140" s="4"/>
      <c r="R140" s="4" t="e">
        <f>VLOOKUP(J140,Stock_list!A:Y,25,FALSE)</f>
        <v>#N/A</v>
      </c>
      <c r="S140" s="143"/>
      <c r="V140" s="144"/>
      <c r="W140" s="145"/>
    </row>
    <row r="141" spans="1:23" ht="16.5" customHeight="1">
      <c r="C141" s="429" t="e">
        <f>VLOOKUP(B141,'Data pick slip'!B:F,5,FALSE)</f>
        <v>#N/A</v>
      </c>
      <c r="F141" s="170"/>
      <c r="K141" s="140" t="e">
        <f>VLOOKUP(J141,Stock_list!A:R,18,FALSE)</f>
        <v>#N/A</v>
      </c>
      <c r="L141" s="139" t="e">
        <f>VLOOKUP(J141,Stock_list!A:S,17,FALSE)</f>
        <v>#N/A</v>
      </c>
      <c r="M141" s="51" t="e">
        <f>VLOOKUP(J141,Stock_list!A:T,16,FALSE)</f>
        <v>#N/A</v>
      </c>
      <c r="N141" s="4"/>
      <c r="R141" s="4" t="e">
        <f>VLOOKUP(J141,Stock_list!A:Y,25,FALSE)</f>
        <v>#N/A</v>
      </c>
      <c r="S141" s="143"/>
      <c r="V141" s="144"/>
      <c r="W141" s="145"/>
    </row>
    <row r="142" spans="1:23" ht="16.5" customHeight="1">
      <c r="C142" s="429" t="e">
        <f>VLOOKUP(B142,'Data pick slip'!B:F,5,FALSE)</f>
        <v>#N/A</v>
      </c>
      <c r="F142" s="170"/>
      <c r="K142" s="140" t="e">
        <f>VLOOKUP(J142,Stock_list!A:R,18,FALSE)</f>
        <v>#N/A</v>
      </c>
      <c r="L142" s="139" t="e">
        <f>VLOOKUP(J142,Stock_list!A:S,17,FALSE)</f>
        <v>#N/A</v>
      </c>
      <c r="M142" s="51" t="e">
        <f>VLOOKUP(J142,Stock_list!A:T,16,FALSE)</f>
        <v>#N/A</v>
      </c>
      <c r="N142" s="4"/>
      <c r="R142" s="4" t="e">
        <f>VLOOKUP(J142,Stock_list!A:Y,25,FALSE)</f>
        <v>#N/A</v>
      </c>
      <c r="S142" s="143"/>
      <c r="V142" s="144"/>
      <c r="W142" s="145"/>
    </row>
    <row r="143" spans="1:23" ht="16.5" customHeight="1">
      <c r="C143" s="429" t="e">
        <f>VLOOKUP(B143,'Data pick slip'!B:F,5,FALSE)</f>
        <v>#N/A</v>
      </c>
      <c r="F143" s="170"/>
      <c r="K143" s="140" t="e">
        <f>VLOOKUP(J143,Stock_list!A:R,18,FALSE)</f>
        <v>#N/A</v>
      </c>
      <c r="L143" s="139" t="e">
        <f>VLOOKUP(J143,Stock_list!A:S,17,FALSE)</f>
        <v>#N/A</v>
      </c>
      <c r="M143" s="51" t="e">
        <f>VLOOKUP(J143,Stock_list!A:T,16,FALSE)</f>
        <v>#N/A</v>
      </c>
      <c r="N143" s="4"/>
      <c r="R143" s="4" t="e">
        <f>VLOOKUP(J143,Stock_list!A:Y,25,FALSE)</f>
        <v>#N/A</v>
      </c>
      <c r="S143" s="143"/>
      <c r="V143" s="144"/>
      <c r="W143" s="145"/>
    </row>
    <row r="144" spans="1:23" ht="16.5" customHeight="1">
      <c r="C144" s="429" t="e">
        <f>VLOOKUP(B144,'Data pick slip'!B:F,5,FALSE)</f>
        <v>#N/A</v>
      </c>
      <c r="F144" s="170"/>
      <c r="L144" s="269"/>
      <c r="M144" s="51"/>
      <c r="N144" s="4"/>
      <c r="R144" s="4"/>
      <c r="S144" s="143"/>
      <c r="V144" s="144"/>
      <c r="W144" s="145"/>
    </row>
    <row r="145" spans="1:23" ht="16.5" customHeight="1">
      <c r="C145" s="429" t="e">
        <f>VLOOKUP(B145,'Data pick slip'!B:F,5,FALSE)</f>
        <v>#N/A</v>
      </c>
      <c r="F145" s="170"/>
      <c r="L145" s="269"/>
      <c r="M145" s="51"/>
      <c r="N145" s="4"/>
      <c r="R145" s="4"/>
      <c r="S145" s="143"/>
      <c r="V145" s="144"/>
      <c r="W145" s="145"/>
    </row>
    <row r="146" spans="1:23" s="241" customFormat="1" ht="16.5" customHeight="1" thickBot="1">
      <c r="A146" s="479"/>
      <c r="B146" s="455"/>
      <c r="C146" s="432" t="e">
        <f>VLOOKUP(B146,'Data pick slip'!B:F,5,FALSE)</f>
        <v>#N/A</v>
      </c>
      <c r="D146" s="456"/>
      <c r="E146" s="457"/>
      <c r="F146" s="230"/>
      <c r="I146" s="482"/>
      <c r="J146" s="459"/>
      <c r="K146" s="461"/>
      <c r="L146" s="462"/>
      <c r="M146" s="463"/>
      <c r="N146" s="464"/>
      <c r="O146" s="461"/>
      <c r="P146" s="458"/>
      <c r="Q146" s="460"/>
      <c r="R146" s="8"/>
      <c r="S146" s="236"/>
      <c r="T146" s="237"/>
      <c r="U146" s="238"/>
      <c r="V146" s="239"/>
      <c r="W146" s="240"/>
    </row>
    <row r="147" spans="1:23" s="251" customFormat="1" ht="16.5" customHeight="1">
      <c r="A147" s="480"/>
      <c r="B147" s="445"/>
      <c r="C147" s="431"/>
      <c r="D147" s="446"/>
      <c r="E147" s="447"/>
      <c r="F147" s="367"/>
      <c r="I147" s="483"/>
      <c r="J147" s="449"/>
      <c r="K147" s="450"/>
      <c r="L147" s="451"/>
      <c r="M147" s="452"/>
      <c r="N147" s="453"/>
      <c r="O147" s="450"/>
      <c r="P147" s="448"/>
      <c r="Q147" s="199"/>
      <c r="R147" s="12"/>
      <c r="S147" s="202"/>
      <c r="T147" s="249"/>
      <c r="U147" s="203"/>
      <c r="V147" s="454"/>
      <c r="W147" s="376"/>
    </row>
    <row r="148" spans="1:23" s="251" customFormat="1" ht="16.5" customHeight="1">
      <c r="A148" s="478"/>
      <c r="B148" s="434"/>
      <c r="C148" s="433"/>
      <c r="D148" s="197"/>
      <c r="E148" s="306"/>
      <c r="F148" s="198"/>
      <c r="G148" s="146"/>
      <c r="I148" s="484">
        <f>SUM(I13:I147)</f>
        <v>2493</v>
      </c>
      <c r="J148" s="200"/>
      <c r="K148" s="245"/>
      <c r="L148" s="201"/>
      <c r="M148" s="247" t="e">
        <f>#REF!+#REF!+#REF!+#REF!+#REF!+#REF!</f>
        <v>#REF!</v>
      </c>
      <c r="N148" s="246"/>
      <c r="O148" s="247">
        <f>SUM(O13:O147)</f>
        <v>1403</v>
      </c>
      <c r="P148" s="244">
        <f>SUM(P13:P147)</f>
        <v>0</v>
      </c>
      <c r="Q148" s="244">
        <f>SUM(Q13:Q147)</f>
        <v>0</v>
      </c>
      <c r="R148" s="248"/>
      <c r="S148" s="202"/>
      <c r="T148" s="249"/>
      <c r="U148" s="203"/>
      <c r="V148" s="203"/>
      <c r="W148" s="250"/>
    </row>
    <row r="149" spans="1:23" s="251" customFormat="1" ht="16.5" customHeight="1">
      <c r="A149" s="478"/>
      <c r="B149" s="434"/>
      <c r="C149" s="434"/>
      <c r="D149" s="197"/>
      <c r="E149" s="306"/>
      <c r="F149" s="198"/>
      <c r="G149" s="146"/>
      <c r="I149" s="484"/>
      <c r="J149" s="200"/>
      <c r="K149" s="245"/>
      <c r="L149" s="201"/>
      <c r="M149" s="247"/>
      <c r="N149" s="246"/>
      <c r="O149" s="247"/>
      <c r="P149" s="244"/>
      <c r="Q149" s="244"/>
      <c r="R149" s="248"/>
      <c r="S149" s="202"/>
      <c r="T149" s="249"/>
      <c r="U149" s="203"/>
      <c r="V149" s="203"/>
      <c r="W149" s="250"/>
    </row>
    <row r="150" spans="1:23" ht="16.5" customHeight="1">
      <c r="C150" s="429"/>
      <c r="R150" s="4"/>
      <c r="S150" s="143"/>
    </row>
    <row r="151" spans="1:23" ht="16.5" customHeight="1">
      <c r="C151" s="429"/>
      <c r="R151" s="4"/>
      <c r="S151" s="143"/>
    </row>
    <row r="152" spans="1:23" ht="16.5" customHeight="1">
      <c r="C152" s="429"/>
      <c r="O152" s="253"/>
      <c r="R152" s="4"/>
      <c r="S152" s="143"/>
    </row>
    <row r="153" spans="1:23">
      <c r="C153" s="429"/>
      <c r="K153" s="344"/>
      <c r="L153" s="344"/>
      <c r="M153" s="47"/>
      <c r="R153" s="4"/>
      <c r="S153" s="143"/>
    </row>
    <row r="154" spans="1:23" ht="16.5" customHeight="1">
      <c r="C154" s="429"/>
      <c r="K154" s="344"/>
      <c r="L154" s="344"/>
      <c r="M154" s="47"/>
      <c r="O154" s="253"/>
      <c r="R154" s="4"/>
      <c r="S154" s="143"/>
    </row>
    <row r="155" spans="1:23" ht="14.4">
      <c r="C155" s="429"/>
      <c r="K155" s="314"/>
      <c r="L155" s="345"/>
      <c r="M155" s="345"/>
      <c r="S155" s="143"/>
    </row>
    <row r="156" spans="1:23" ht="14.4">
      <c r="K156" s="314"/>
      <c r="L156" s="345"/>
      <c r="M156" s="345"/>
      <c r="O156" s="253"/>
      <c r="S156" s="143"/>
    </row>
    <row r="157" spans="1:23" ht="14.4">
      <c r="K157" s="314"/>
      <c r="L157" s="345"/>
      <c r="M157" s="345"/>
      <c r="S157" s="133"/>
    </row>
    <row r="158" spans="1:23" ht="14.4">
      <c r="B158" s="436"/>
      <c r="C158" s="436"/>
      <c r="D158" s="219"/>
      <c r="E158" s="255"/>
      <c r="F158" s="221"/>
      <c r="I158" s="481"/>
      <c r="J158" s="223"/>
      <c r="K158" s="314"/>
      <c r="L158" s="345"/>
      <c r="M158" s="345"/>
      <c r="N158" s="10"/>
      <c r="O158" s="225"/>
      <c r="P158" s="222"/>
      <c r="R158" s="4"/>
      <c r="S158" s="133"/>
      <c r="V158" s="144"/>
      <c r="W158" s="145"/>
    </row>
    <row r="159" spans="1:23" ht="14.4">
      <c r="C159" s="429"/>
      <c r="F159" s="221"/>
      <c r="I159" s="481"/>
      <c r="J159" s="223"/>
      <c r="K159" s="314"/>
      <c r="L159" s="345"/>
      <c r="M159" s="345"/>
      <c r="R159" s="4"/>
    </row>
    <row r="160" spans="1:23" ht="14.4">
      <c r="C160" s="429"/>
      <c r="F160" s="221"/>
      <c r="I160" s="481"/>
      <c r="J160" s="223"/>
      <c r="K160" s="314"/>
      <c r="L160" s="345"/>
      <c r="M160" s="345"/>
      <c r="R160" s="4"/>
    </row>
    <row r="161" spans="11:13" ht="14.4">
      <c r="K161" s="314"/>
      <c r="L161" s="345"/>
      <c r="M161" s="345"/>
    </row>
    <row r="162" spans="11:13" ht="14.4">
      <c r="K162" s="314"/>
      <c r="L162" s="345"/>
      <c r="M162" s="345"/>
    </row>
    <row r="163" spans="11:13" ht="14.4">
      <c r="K163" s="314"/>
      <c r="L163" s="345"/>
      <c r="M163" s="345"/>
    </row>
    <row r="164" spans="11:13" ht="14.4">
      <c r="K164" s="314"/>
      <c r="L164" s="345"/>
      <c r="M164" s="345"/>
    </row>
    <row r="165" spans="11:13" ht="14.4">
      <c r="K165" s="314"/>
      <c r="L165" s="345"/>
    </row>
    <row r="166" spans="11:13" ht="14.4">
      <c r="K166" s="314"/>
      <c r="L166" s="345"/>
    </row>
  </sheetData>
  <autoFilter ref="A1:V166" xr:uid="{1E24E28A-D884-4652-905A-C9494E881EBF}">
    <filterColumn colId="13">
      <filters blank="1">
        <dateGroupItem year="2024" dateTimeGrouping="year"/>
      </filters>
    </filterColumn>
  </autoFilter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3" sqref="R13"/>
    </sheetView>
  </sheetViews>
  <sheetFormatPr defaultColWidth="9" defaultRowHeight="13.8"/>
  <cols>
    <col min="1" max="1" width="12.21875" style="65" customWidth="1"/>
    <col min="2" max="2" width="9.44140625" style="65" customWidth="1"/>
    <col min="3" max="3" width="7.21875" style="65" customWidth="1"/>
    <col min="4" max="4" width="8.44140625" style="65" customWidth="1"/>
    <col min="5" max="5" width="7" style="65" customWidth="1"/>
    <col min="6" max="7" width="7.44140625" style="65" customWidth="1"/>
    <col min="8" max="9" width="7.21875" style="65" customWidth="1"/>
    <col min="10" max="10" width="7.44140625" style="65" customWidth="1"/>
    <col min="11" max="11" width="8" style="65" customWidth="1"/>
    <col min="12" max="12" width="7.44140625" style="65" customWidth="1"/>
    <col min="13" max="13" width="8" style="65" customWidth="1"/>
    <col min="14" max="14" width="7.77734375" style="65" customWidth="1"/>
    <col min="15" max="16" width="7.21875" style="65" customWidth="1"/>
    <col min="17" max="17" width="8.44140625" style="65" customWidth="1"/>
    <col min="18" max="18" width="9.44140625" style="65" customWidth="1"/>
    <col min="19" max="23" width="8" style="65" customWidth="1"/>
    <col min="24" max="24" width="9.77734375" style="65" customWidth="1"/>
    <col min="25" max="25" width="7.77734375" style="65" customWidth="1"/>
    <col min="26" max="26" width="10" style="65" customWidth="1"/>
    <col min="27" max="27" width="7.44140625" style="65" customWidth="1"/>
    <col min="28" max="29" width="6.44140625" style="65" customWidth="1"/>
    <col min="30" max="30" width="8.44140625" style="65" customWidth="1"/>
    <col min="31" max="31" width="7.21875" style="65" customWidth="1"/>
    <col min="32" max="32" width="6.21875" style="65" customWidth="1"/>
    <col min="33" max="33" width="6" style="65" customWidth="1"/>
    <col min="34" max="34" width="7.44140625" style="18" customWidth="1"/>
    <col min="35" max="35" width="6.21875" style="18" customWidth="1"/>
    <col min="36" max="36" width="6.44140625" style="18" customWidth="1"/>
    <col min="37" max="37" width="5.77734375" style="18" customWidth="1"/>
    <col min="38" max="38" width="9.44140625" style="18" customWidth="1"/>
    <col min="39" max="40" width="9" style="18"/>
    <col min="41" max="41" width="7.44140625" style="1" customWidth="1"/>
    <col min="42" max="16384" width="9" style="1"/>
  </cols>
  <sheetData>
    <row r="2" spans="1:40" ht="18" customHeight="1" thickBot="1">
      <c r="A2" s="657" t="s">
        <v>1676</v>
      </c>
      <c r="B2" s="662" t="s">
        <v>1665</v>
      </c>
      <c r="C2" s="663"/>
      <c r="D2" s="664"/>
      <c r="E2" s="660" t="s">
        <v>1658</v>
      </c>
      <c r="F2" s="661"/>
      <c r="G2" s="660" t="s">
        <v>1659</v>
      </c>
      <c r="H2" s="661"/>
      <c r="I2" s="655" t="s">
        <v>314</v>
      </c>
      <c r="J2" s="656"/>
      <c r="K2" s="655" t="s">
        <v>1662</v>
      </c>
      <c r="L2" s="656"/>
      <c r="M2" s="534"/>
      <c r="N2" s="534"/>
      <c r="O2" s="535"/>
      <c r="P2" s="517"/>
      <c r="Q2" s="540" t="s">
        <v>1691</v>
      </c>
      <c r="R2" s="540" t="s">
        <v>1691</v>
      </c>
      <c r="S2" s="468"/>
      <c r="T2" s="468"/>
      <c r="U2" s="468"/>
      <c r="V2" s="468"/>
      <c r="W2" s="540" t="s">
        <v>1691</v>
      </c>
      <c r="X2" s="540" t="s">
        <v>1691</v>
      </c>
      <c r="Y2" s="540" t="s">
        <v>1691</v>
      </c>
      <c r="Z2" s="658" t="s">
        <v>1677</v>
      </c>
      <c r="AA2" s="662" t="s">
        <v>1665</v>
      </c>
      <c r="AB2" s="663"/>
      <c r="AC2" s="664"/>
      <c r="AD2" s="660" t="s">
        <v>1658</v>
      </c>
      <c r="AE2" s="661"/>
      <c r="AF2" s="660" t="s">
        <v>1659</v>
      </c>
      <c r="AG2" s="661"/>
      <c r="AH2" s="655" t="s">
        <v>314</v>
      </c>
      <c r="AI2" s="656"/>
      <c r="AJ2" s="655" t="s">
        <v>1662</v>
      </c>
      <c r="AK2" s="656"/>
      <c r="AL2" s="472"/>
      <c r="AM2" s="472"/>
      <c r="AN2" s="473"/>
    </row>
    <row r="3" spans="1:40" s="467" customFormat="1" ht="57.6">
      <c r="A3" s="657"/>
      <c r="B3" s="469" t="s">
        <v>1667</v>
      </c>
      <c r="C3" s="470" t="s">
        <v>1666</v>
      </c>
      <c r="D3" s="469" t="s">
        <v>1655</v>
      </c>
      <c r="E3" s="470" t="s">
        <v>1628</v>
      </c>
      <c r="F3" s="470" t="s">
        <v>1655</v>
      </c>
      <c r="G3" s="470" t="s">
        <v>1656</v>
      </c>
      <c r="H3" s="470" t="s">
        <v>1657</v>
      </c>
      <c r="I3" s="469" t="s">
        <v>1660</v>
      </c>
      <c r="J3" s="469" t="s">
        <v>1661</v>
      </c>
      <c r="K3" s="469" t="s">
        <v>1663</v>
      </c>
      <c r="L3" s="469" t="s">
        <v>1661</v>
      </c>
      <c r="M3" s="469" t="s">
        <v>170</v>
      </c>
      <c r="N3" s="469" t="s">
        <v>1635</v>
      </c>
      <c r="O3" s="511" t="s">
        <v>356</v>
      </c>
      <c r="P3" s="518" t="s">
        <v>166</v>
      </c>
      <c r="Q3" s="519" t="s">
        <v>1697</v>
      </c>
      <c r="R3" s="519" t="s">
        <v>1696</v>
      </c>
      <c r="S3" s="520" t="s">
        <v>1685</v>
      </c>
      <c r="T3" s="520" t="s">
        <v>1686</v>
      </c>
      <c r="U3" s="520" t="s">
        <v>1687</v>
      </c>
      <c r="V3" s="520" t="s">
        <v>1688</v>
      </c>
      <c r="W3" s="519" t="s">
        <v>1689</v>
      </c>
      <c r="X3" s="519" t="s">
        <v>1690</v>
      </c>
      <c r="Y3" s="521" t="s">
        <v>1692</v>
      </c>
      <c r="Z3" s="659"/>
      <c r="AA3" s="469" t="s">
        <v>1667</v>
      </c>
      <c r="AB3" s="470" t="s">
        <v>1666</v>
      </c>
      <c r="AC3" s="469" t="s">
        <v>1655</v>
      </c>
      <c r="AD3" s="470" t="s">
        <v>1628</v>
      </c>
      <c r="AE3" s="470" t="s">
        <v>1655</v>
      </c>
      <c r="AF3" s="470" t="s">
        <v>1656</v>
      </c>
      <c r="AG3" s="470" t="s">
        <v>1657</v>
      </c>
      <c r="AH3" s="469" t="s">
        <v>1660</v>
      </c>
      <c r="AI3" s="469" t="s">
        <v>1661</v>
      </c>
      <c r="AJ3" s="469" t="s">
        <v>1664</v>
      </c>
      <c r="AK3" s="469" t="s">
        <v>1661</v>
      </c>
      <c r="AL3" s="469" t="s">
        <v>1726</v>
      </c>
      <c r="AM3" s="469" t="s">
        <v>1635</v>
      </c>
      <c r="AN3" s="469" t="s">
        <v>356</v>
      </c>
    </row>
    <row r="4" spans="1:40" ht="17.399999999999999">
      <c r="A4" s="474">
        <v>301</v>
      </c>
      <c r="B4" s="493">
        <f>C4+D4</f>
        <v>355</v>
      </c>
      <c r="C4" s="493">
        <f>E4-G4</f>
        <v>40</v>
      </c>
      <c r="D4" s="493">
        <f>F4-H4</f>
        <v>315</v>
      </c>
      <c r="E4" s="488">
        <f>SUMIFS(Nozzle!$I$1:$I73,Nozzle!$A$1:$A$73,"C49",Nozzle!$B$1:$B$73,"301",Nozzle!$F$1:$F$73,"ESEL",Nozzle!$H$1:$H$73,"STK",Nozzle!$G$1:$G$73,"随机")</f>
        <v>630</v>
      </c>
      <c r="F4" s="488">
        <f>SUMIFS(Nozzle!$I$1:$I73,Nozzle!$A$1:$A$73,"C49",Nozzle!$B$1:$B$73,"301",Nozzle!$F$1:$F$73,"ESEL",Nozzle!$H$1:$H$73,"STK",Nozzle!$G$1:$G$73,"additional")</f>
        <v>383</v>
      </c>
      <c r="G4" s="488">
        <f>SUMIFS(Nozzle!$O$74:$O$146,Nozzle!$A$74:$A$146,"C49",Nozzle!$B$74:$B$146,"301",Nozzle!$F$74:$F$146,"ESEL",Nozzle!$G$74:$G$146,"随机")</f>
        <v>590</v>
      </c>
      <c r="H4" s="488">
        <f>SUMIFS(Nozzle!$O$74:$O$146,Nozzle!$A$74:$A$146,"C49",Nozzle!$B$74:$B$146,"301",Nozzle!$F$74:$F$146,"ESEL",Nozzle!$G$74:$G$146,"additional")</f>
        <v>68</v>
      </c>
      <c r="I4" s="489">
        <f>SUMIFS(Nozzle!$I$1:$I73,Nozzle!$A$1:$A$73,"C49",Nozzle!$B$1:$B$73,"301",Nozzle!$F$1:$F$73,"ESEL",Nozzle!$H$1:$H$73,"Incoming",Nozzle!$G$1:$G$73,"随机")</f>
        <v>185</v>
      </c>
      <c r="J4" s="489">
        <f>SUMIFS(Nozzle!$I$1:$I73,Nozzle!$A$1:$A$73,"C49",Nozzle!$B$1:$B$73,"301",Nozzle!$F$1:$F$73,"ESEL",Nozzle!$H$1:$H$73,"Incoming",Nozzle!$G$1:$G$73,"additional")</f>
        <v>0</v>
      </c>
      <c r="K4" s="489">
        <f>SUMIFS(Nozzle!$I$1:$I73,Nozzle!$A$1:$A$73,"C49",Nozzle!$B$1:$B$73,"301",Nozzle!$F$1:$F$73,"ESEL",Nozzle!$H$1:$H$73,"TBA",Nozzle!$G$1:$G$73,"随机")</f>
        <v>0</v>
      </c>
      <c r="L4" s="489">
        <f>SUMIFS(Nozzle!$I$1:$I73,Nozzle!$A$1:$A$73,"C49",Nozzle!$B$1:$B$73,"301",Nozzle!$F$1:$F$73,"ESEL",Nozzle!$H$1:$H$73,"TBA",Nozzle!$G$1:$G$73,"additional")</f>
        <v>0</v>
      </c>
      <c r="M4" s="490">
        <f>SUMIFS(Nozzle!$P$74:$P$146,Nozzle!$A$74:$A$146,"C49",Nozzle!$B$74:$B$146,"301",Nozzle!$F$74:$F$146,"ESEL")</f>
        <v>0</v>
      </c>
      <c r="N4" s="491">
        <v>0</v>
      </c>
      <c r="O4" s="512">
        <f>B4+I4+J4+K4+L4-M4-N4</f>
        <v>540</v>
      </c>
      <c r="P4" s="532">
        <v>301</v>
      </c>
      <c r="Q4" s="530">
        <f>O4+AN4+I33+S33+AC33</f>
        <v>508</v>
      </c>
      <c r="R4" s="530">
        <f t="shared" ref="R4:R25" si="0">O4+AN4+I33+S33+AC33-C4-AB4</f>
        <v>448</v>
      </c>
      <c r="S4" s="525">
        <f t="shared" ref="S4:S25" si="1">D4+B33+L33+V33</f>
        <v>294</v>
      </c>
      <c r="T4" s="525">
        <f>AC4</f>
        <v>9</v>
      </c>
      <c r="U4" s="525">
        <f>C4</f>
        <v>40</v>
      </c>
      <c r="V4" s="525">
        <f>AB4</f>
        <v>20</v>
      </c>
      <c r="W4" s="529">
        <f>S4+U4</f>
        <v>334</v>
      </c>
      <c r="X4" s="529">
        <f>T4+V4</f>
        <v>29</v>
      </c>
      <c r="Y4" s="536">
        <f>D4+AC4+B33+L33+V33-AL4-M4-G33-Q33-AA33</f>
        <v>303</v>
      </c>
      <c r="Z4" s="513">
        <v>301</v>
      </c>
      <c r="AA4" s="493">
        <f>AB4+AC4</f>
        <v>29</v>
      </c>
      <c r="AB4" s="493">
        <f>AD4-AF4</f>
        <v>20</v>
      </c>
      <c r="AC4" s="493">
        <f>AE4-AG4</f>
        <v>9</v>
      </c>
      <c r="AD4" s="488">
        <f>SUMIFS(Nozzle!$I$1:$I73,Nozzle!$A$1:$A$73,"C49",Nozzle!$B$1:$B$73,"301",Nozzle!$F$1:$F$73,"ESSZ",Nozzle!$H$1:$H$73,"STK",Nozzle!$G$1:$G$73,"随机")</f>
        <v>70</v>
      </c>
      <c r="AE4" s="488">
        <f>SUMIFS(Nozzle!$I$1:$I73,Nozzle!$A$1:$A$73,"C49",Nozzle!$B$1:$B$73,"301",Nozzle!$F$1:$F$73,"ESSZ",Nozzle!$H$1:$H$73,"STK",Nozzle!$G$1:$G$73,"additional")</f>
        <v>9</v>
      </c>
      <c r="AF4" s="488">
        <f>SUMIFS(Nozzle!$O$74:$O$146,Nozzle!$A$74:$A$146,"C49",Nozzle!$B$74:$B$146,"301",Nozzle!$F$74:$F$146,"ESSZ",Nozzle!$G$74:$G$146,"随机")</f>
        <v>50</v>
      </c>
      <c r="AG4" s="488">
        <f>SUMIFS(Nozzle!$O$74:$O$146,Nozzle!$A$74:$A$146,"C49",Nozzle!$B$74:$B$146,"301",Nozzle!$F$74:$F$146,"ESSZ",Nozzle!$G$74:$G$146,"additional")</f>
        <v>0</v>
      </c>
      <c r="AH4" s="489">
        <f>SUMIFS(Nozzle!$I$1:$I73,Nozzle!$A$1:$A$73,"C49",Nozzle!$B$1:$B$73,"301",Nozzle!$F$1:$F$73,"ESSZ",Nozzle!$H$1:$H$73,"Incoming",Nozzle!$G$1:$G$73,"随机")</f>
        <v>0</v>
      </c>
      <c r="AI4" s="489">
        <f>SUMIFS(Nozzle!$I$1:$I73,Nozzle!$A$1:$A$73,"C49",Nozzle!$B$1:$B$73,"301",Nozzle!$F$1:$F$73,"ESSZ",Nozzle!$H$1:$H$73,"Incoming",Nozzle!$G$1:$G$73,"additional")</f>
        <v>0</v>
      </c>
      <c r="AJ4" s="489">
        <f>SUMIFS(Nozzle!$I$1:$I73,Nozzle!$A$1:$A$73,"C49",Nozzle!$B$1:$B$73,"301",Nozzle!$F$1:$F$73,"ESSZ",Nozzle!$H$1:$H$73,"TBA",Nozzle!$G$1:$G$73,"随机")</f>
        <v>0</v>
      </c>
      <c r="AK4" s="489">
        <f>SUMIFS(Nozzle!$I$1:$I73,Nozzle!$A$1:$A$73,"C49",Nozzle!$B$1:$B$73,"301",Nozzle!$F$1:$F$73,"ESSZ",Nozzle!$H$1:$H$73,"TBA",Nozzle!$G$1:$G$73,"additional")</f>
        <v>0</v>
      </c>
      <c r="AL4" s="490">
        <f>SUMIFS(Nozzle!$P$74:$P$146,Nozzle!$A$74:$A$146,"C49",Nozzle!$B$74:$B$146,"301",Nozzle!$F$74:$F$146,"ESSZ")</f>
        <v>0</v>
      </c>
      <c r="AM4" s="491">
        <v>0</v>
      </c>
      <c r="AN4" s="492">
        <f>AA4+AH4+AI4+AJ4+AK4-AL4-AM4</f>
        <v>29</v>
      </c>
    </row>
    <row r="5" spans="1:40" ht="17.399999999999999">
      <c r="A5" s="474">
        <v>302</v>
      </c>
      <c r="B5" s="493">
        <f t="shared" ref="B5:B22" si="2">C5+D5</f>
        <v>240</v>
      </c>
      <c r="C5" s="493">
        <f t="shared" ref="C5:C22" si="3">E5-G5</f>
        <v>75</v>
      </c>
      <c r="D5" s="493">
        <f t="shared" ref="D5:D22" si="4">F5-H5</f>
        <v>165</v>
      </c>
      <c r="E5" s="488">
        <f>SUMIFS(Nozzle!$I$1:$I73,Nozzle!$A$1:$A$73,"C49",Nozzle!$B$1:$B$73,"302",Nozzle!$F$1:$F$73,"ESEL",Nozzle!$H$1:$H$73,"STK",Nozzle!$G$1:$G$73,"随机")</f>
        <v>150</v>
      </c>
      <c r="F5" s="488">
        <f>SUMIFS(Nozzle!$I$1:$I73,Nozzle!$A$1:$A$73,"C49",Nozzle!$B$1:$B$73,"302",Nozzle!$F$1:$F$73,"ESEL",Nozzle!$H$1:$H$73,"STK",Nozzle!$G$1:$G$73,"additional")</f>
        <v>303</v>
      </c>
      <c r="G5" s="488">
        <f>SUMIFS(Nozzle!$O$74:$O$146,Nozzle!$A$74:$A$146,"C49",Nozzle!$B$74:$B$146,"302",Nozzle!$F$74:$F$146,"ESEL",Nozzle!$G$74:$G$146,"随机")</f>
        <v>75</v>
      </c>
      <c r="H5" s="488">
        <f>SUMIFS(Nozzle!$O$74:$O$146,Nozzle!$A$74:$A$146,"C49",Nozzle!$B$74:$B$146,"302",Nozzle!$F$74:$F$146,"ESEL",Nozzle!$G$74:$G$146,"additional")</f>
        <v>138</v>
      </c>
      <c r="I5" s="489">
        <f>SUMIFS(Nozzle!$I$1:$I73,Nozzle!$A$1:$A$73,"C49",Nozzle!$B$1:$B$73,"302",Nozzle!$F$1:$F$73,"ESEL",Nozzle!$H$1:$H$73,"Incoming",Nozzle!$G$1:$G$73,"随机")</f>
        <v>25</v>
      </c>
      <c r="J5" s="489">
        <f>SUMIFS(Nozzle!$I$1:$I73,Nozzle!$A$1:$A$73,"C49",Nozzle!$B$1:$B$73,"302",Nozzle!$F$1:$F$73,"ESEL",Nozzle!$H$1:$H$73,"Incoming",Nozzle!$G$1:$G$73,"additional")</f>
        <v>0</v>
      </c>
      <c r="K5" s="489">
        <f>SUMIFS(Nozzle!$I$1:$I73,Nozzle!$A$1:$A$73,"C49",Nozzle!$B$1:$B$73,"302",Nozzle!$F$1:$F$73,"ESEL",Nozzle!$H$1:$H$73,"TBA",Nozzle!$G$1:$G$73,"随机")</f>
        <v>0</v>
      </c>
      <c r="L5" s="489">
        <f>SUMIFS(Nozzle!$I$1:$I73,Nozzle!$A$1:$A$73,"C49",Nozzle!$B$1:$B$73,"302",Nozzle!$F$1:$F$73,"ESEL",Nozzle!$H$1:$H$73,"TBA",Nozzle!$G$1:$G$73,"additional")</f>
        <v>0</v>
      </c>
      <c r="M5" s="490">
        <f>SUMIFS(Nozzle!$P$74:$P$146,Nozzle!$A$74:$A$146,"C49",Nozzle!$B$74:$B$146,"302",Nozzle!$F$74:$F$146,"ESEL")</f>
        <v>0</v>
      </c>
      <c r="N5" s="491">
        <v>0</v>
      </c>
      <c r="O5" s="512">
        <f>B5+I5+J5+K5+L5-M5-N5</f>
        <v>265</v>
      </c>
      <c r="P5" s="532">
        <v>302</v>
      </c>
      <c r="Q5" s="530">
        <f>O5+AN5+I34+S34+AC34</f>
        <v>194</v>
      </c>
      <c r="R5" s="530">
        <f t="shared" si="0"/>
        <v>119</v>
      </c>
      <c r="S5" s="525">
        <f t="shared" si="1"/>
        <v>134</v>
      </c>
      <c r="T5" s="525">
        <f t="shared" ref="T5:T25" si="5">AC5</f>
        <v>0</v>
      </c>
      <c r="U5" s="525">
        <f t="shared" ref="U5:U25" si="6">C5</f>
        <v>75</v>
      </c>
      <c r="V5" s="525">
        <f t="shared" ref="V5:V25" si="7">AB5</f>
        <v>0</v>
      </c>
      <c r="W5" s="529">
        <f t="shared" ref="W5:W25" si="8">S5+U5</f>
        <v>209</v>
      </c>
      <c r="X5" s="529">
        <f t="shared" ref="X5:X25" si="9">T5+V5</f>
        <v>0</v>
      </c>
      <c r="Y5" s="536">
        <f t="shared" ref="Y5:Y25" si="10">D5+AC5+B34+L34+V34-AL5-M5-G34-Q34-AA34</f>
        <v>134</v>
      </c>
      <c r="Z5" s="513">
        <v>302</v>
      </c>
      <c r="AA5" s="493">
        <f t="shared" ref="AA5:AA22" si="11">AB5+AC5</f>
        <v>0</v>
      </c>
      <c r="AB5" s="493">
        <f t="shared" ref="AB5:AB22" si="12">AD5-AF5</f>
        <v>0</v>
      </c>
      <c r="AC5" s="493">
        <f t="shared" ref="AC5:AC22" si="13">AE5-AG5</f>
        <v>0</v>
      </c>
      <c r="AD5" s="488">
        <f>SUMIFS(Nozzle!$I$1:$I73,Nozzle!$A$1:$A$73,"C49",Nozzle!$B$1:$B$73,"302",Nozzle!$F$1:$F$73,"ESSZ",Nozzle!$H$1:$H$73,"STK",Nozzle!$G$1:$G$73,"随机")</f>
        <v>10</v>
      </c>
      <c r="AE5" s="488">
        <f>SUMIFS(Nozzle!$I$1:$I73,Nozzle!$A$1:$A$73,"C49",Nozzle!$B$1:$B$73,"302",Nozzle!$F$1:$F$73,"ESSZ",Nozzle!$H$1:$H$73,"STK",Nozzle!$G$1:$G$73,"additional")</f>
        <v>0</v>
      </c>
      <c r="AF5" s="488">
        <f>SUMIFS(Nozzle!$O$74:$O$146,Nozzle!$A$74:$A$146,"C49",Nozzle!$B$74:$B$146,"302",Nozzle!$F$74:$F$146,"ESSZ",Nozzle!$G$74:$G$146,"随机")</f>
        <v>10</v>
      </c>
      <c r="AG5" s="488">
        <f>SUMIFS(Nozzle!$O$74:$O$146,Nozzle!$A$74:$A$146,"C49",Nozzle!$B$74:$B$146,"302",Nozzle!$F$74:$F$146,"ESSZ",Nozzle!$G$74:$G$146,"additional")</f>
        <v>0</v>
      </c>
      <c r="AH5" s="489">
        <f>SUMIFS(Nozzle!$I$1:$I73,Nozzle!$A$1:$A$73,"C49",Nozzle!$B$1:$B$73,"302",Nozzle!$F$1:$F$73,"ESSZ",Nozzle!$H$1:$H$73,"Incoming",Nozzle!$G$1:$G$73,"随机")</f>
        <v>0</v>
      </c>
      <c r="AI5" s="489">
        <f>SUMIFS(Nozzle!$I$1:$I73,Nozzle!$A$1:$A$73,"C49",Nozzle!$B$1:$B$73,"302",Nozzle!$F$1:$F$73,"ESSZ",Nozzle!$H$1:$H$73,"Incoming",Nozzle!$G$1:$G$73,"additional")</f>
        <v>0</v>
      </c>
      <c r="AJ5" s="489">
        <f>SUMIFS(Nozzle!$I$1:$I73,Nozzle!$A$1:$A$73,"C49",Nozzle!$B$1:$B$73,"302",Nozzle!$F$1:$F$73,"ESSZ",Nozzle!$H$1:$H$73,"TBA",Nozzle!$G$1:$G$73,"随机")</f>
        <v>0</v>
      </c>
      <c r="AK5" s="489">
        <f>SUMIFS(Nozzle!$I$1:$I73,Nozzle!$A$1:$A$73,"C49",Nozzle!$B$1:$B$73,"302",Nozzle!$F$1:$F$73,"ESSZ",Nozzle!$H$1:$H$73,"TBA",Nozzle!$G$1:$G$73,"additional")</f>
        <v>0</v>
      </c>
      <c r="AL5" s="490">
        <f>SUMIFS(Nozzle!$P$74:$P$146,Nozzle!$A$74:$A$146,"C49",Nozzle!$B$74:$B$146,"302",Nozzle!$F$74:$F$146,"ESSZ")</f>
        <v>0</v>
      </c>
      <c r="AM5" s="491">
        <v>0</v>
      </c>
      <c r="AN5" s="492">
        <f t="shared" ref="AN5:AN22" si="14">AA5+AH5+AI5+AJ5+AK5-AL5-AM5</f>
        <v>0</v>
      </c>
    </row>
    <row r="6" spans="1:40" ht="17.399999999999999">
      <c r="A6" s="474">
        <v>303</v>
      </c>
      <c r="B6" s="493">
        <f t="shared" si="2"/>
        <v>118</v>
      </c>
      <c r="C6" s="493">
        <f t="shared" si="3"/>
        <v>75</v>
      </c>
      <c r="D6" s="493">
        <f t="shared" si="4"/>
        <v>43</v>
      </c>
      <c r="E6" s="488">
        <f>SUMIFS(Nozzle!$I$1:$I73,Nozzle!$A$1:$A$73,"C49",Nozzle!$B$1:$B$73,"303",Nozzle!$F$1:$F$73,"ESEL",Nozzle!$H$1:$H$73,"STK",Nozzle!$G$1:$G$73,"随机")</f>
        <v>80</v>
      </c>
      <c r="F6" s="488">
        <f>SUMIFS(Nozzle!$I$1:$I73,Nozzle!$A$1:$A$73,"C49",Nozzle!$B$1:$B$73,"303",Nozzle!$F$1:$F$73,"ESEL",Nozzle!$H$1:$H$73,"STK",Nozzle!$G$1:$G$73,"additional")</f>
        <v>54</v>
      </c>
      <c r="G6" s="488">
        <f>SUMIFS(Nozzle!$O$74:$O$146,Nozzle!$A$74:$A$146,"C49",Nozzle!$B$74:$B$146,"303",Nozzle!$F$74:$F$146,"ESEL",Nozzle!$G$74:$G$146,"随机")</f>
        <v>5</v>
      </c>
      <c r="H6" s="488">
        <f>SUMIFS(Nozzle!$O$74:$O$146,Nozzle!$A$74:$A$146,"C49",Nozzle!$B$74:$B$146,"303",Nozzle!$F$74:$F$146,"ESEL",Nozzle!$G$74:$G$146,"additional")</f>
        <v>11</v>
      </c>
      <c r="I6" s="489">
        <f>SUMIFS(Nozzle!$I$1:$I73,Nozzle!$A$1:$A$73,"C49",Nozzle!$B$1:$B$73,"303",Nozzle!$F$1:$F$73,"ESEL",Nozzle!$H$1:$H$73,"Incoming",Nozzle!$G$1:$G$73,"随机")</f>
        <v>60</v>
      </c>
      <c r="J6" s="489">
        <f>SUMIFS(Nozzle!$I$1:$I73,Nozzle!$A$1:$A$73,"C49",Nozzle!$B$1:$B$73,"303",Nozzle!$F$1:$F$73,"ESEL",Nozzle!$H$1:$H$73,"Incoming",Nozzle!$G$1:$G$73,"additional")</f>
        <v>0</v>
      </c>
      <c r="K6" s="489">
        <f>SUMIFS(Nozzle!$I$1:$I73,Nozzle!$A$1:$A$73,"C49",Nozzle!$B$1:$B$73,"303",Nozzle!$F$1:$F$73,"ESEL",Nozzle!$H$1:$H$73,"TBA",Nozzle!$G$1:$G$73,"随机")</f>
        <v>30</v>
      </c>
      <c r="L6" s="489">
        <f>SUMIFS(Nozzle!$I$1:$I73,Nozzle!$A$1:$A$73,"C49",Nozzle!$B$1:$B$73,"303",Nozzle!$F$1:$F$73,"ESEL",Nozzle!$H$1:$H$73,"TBA",Nozzle!$G$1:$G$73,"additional")</f>
        <v>0</v>
      </c>
      <c r="M6" s="490">
        <f>SUMIFS(Nozzle!$P$74:$P$146,Nozzle!$A$74:$A$146,"C49",Nozzle!$B$74:$B$146,"303",Nozzle!$F$74:$F$146,"ESEL")</f>
        <v>0</v>
      </c>
      <c r="N6" s="491">
        <v>0</v>
      </c>
      <c r="O6" s="512">
        <f t="shared" ref="O6:O22" si="15">B6+I6+J6+K6+L6-M6-N6</f>
        <v>208</v>
      </c>
      <c r="P6" s="532">
        <v>303</v>
      </c>
      <c r="Q6" s="530">
        <f t="shared" ref="Q6:Q24" si="16">O6+AN6+I35+S35+AC35</f>
        <v>183</v>
      </c>
      <c r="R6" s="530">
        <f t="shared" si="0"/>
        <v>108</v>
      </c>
      <c r="S6" s="525">
        <f t="shared" si="1"/>
        <v>23</v>
      </c>
      <c r="T6" s="525">
        <f t="shared" si="5"/>
        <v>0</v>
      </c>
      <c r="U6" s="525">
        <f t="shared" si="6"/>
        <v>75</v>
      </c>
      <c r="V6" s="525">
        <f>AB6</f>
        <v>0</v>
      </c>
      <c r="W6" s="529">
        <f t="shared" si="8"/>
        <v>98</v>
      </c>
      <c r="X6" s="529">
        <f t="shared" si="9"/>
        <v>0</v>
      </c>
      <c r="Y6" s="536">
        <f t="shared" si="10"/>
        <v>23</v>
      </c>
      <c r="Z6" s="513">
        <v>303</v>
      </c>
      <c r="AA6" s="493">
        <f t="shared" si="11"/>
        <v>0</v>
      </c>
      <c r="AB6" s="493">
        <f t="shared" si="12"/>
        <v>0</v>
      </c>
      <c r="AC6" s="493">
        <f t="shared" si="13"/>
        <v>0</v>
      </c>
      <c r="AD6" s="488">
        <f>SUMIFS(Nozzle!$I$1:$I73,Nozzle!$A$1:$A$73,"C49",Nozzle!$B$1:$B$73,"303",Nozzle!$F$1:$F$73,"ESSZ",Nozzle!$H$1:$H$73,"STK",Nozzle!$G$1:$G$73,"随机")</f>
        <v>0</v>
      </c>
      <c r="AE6" s="488">
        <f>SUMIFS(Nozzle!$I$1:$I73,Nozzle!$A$1:$A$73,"C49",Nozzle!$B$1:$B$73,"303",Nozzle!$F$1:$F$73,"ESSZ",Nozzle!$H$1:$H$73,"STK",Nozzle!$G$1:$G$73,"additional")</f>
        <v>20</v>
      </c>
      <c r="AF6" s="488">
        <f>SUMIFS(Nozzle!$O$74:$O$146,Nozzle!$A$74:$A$146,"C49",Nozzle!$B$74:$B$146,"303",Nozzle!$F$74:$F$146,"ESSZ",Nozzle!$G$74:$G$146,"随机")</f>
        <v>0</v>
      </c>
      <c r="AG6" s="488">
        <f>SUMIFS(Nozzle!$O$74:$O$146,Nozzle!$A$74:$A$146,"C49",Nozzle!$B$74:$B$146,"303",Nozzle!$F$74:$F$146,"ESSZ",Nozzle!$G$74:$G$146,"additional")</f>
        <v>20</v>
      </c>
      <c r="AH6" s="489">
        <f>SUMIFS(Nozzle!$I$1:$I73,Nozzle!$A$1:$A$73,"C49",Nozzle!$B$1:$B$73,"303",Nozzle!$F$1:$F$73,"ESSZ",Nozzle!$H$1:$H$73,"Incoming",Nozzle!$G$1:$G$73,"随机")</f>
        <v>0</v>
      </c>
      <c r="AI6" s="489">
        <f>SUMIFS(Nozzle!$I$1:$I73,Nozzle!$A$1:$A$73,"C49",Nozzle!$B$1:$B$73,"303",Nozzle!$F$1:$F$73,"ESSZ",Nozzle!$H$1:$H$73,"Incoming",Nozzle!$G$1:$G$73,"additional")</f>
        <v>0</v>
      </c>
      <c r="AJ6" s="489">
        <f>SUMIFS(Nozzle!$I$1:$I73,Nozzle!$A$1:$A$73,"C49",Nozzle!$B$1:$B$73,"303",Nozzle!$F$1:$F$73,"ESSZ",Nozzle!$H$1:$H$73,"TBA",Nozzle!$G$1:$G$73,"随机")</f>
        <v>0</v>
      </c>
      <c r="AK6" s="489">
        <f>SUMIFS(Nozzle!$I$1:$I73,Nozzle!$A$1:$A$73,"C49",Nozzle!$B$1:$B$73,"303",Nozzle!$F$1:$F$73,"ESSZ",Nozzle!$H$1:$H$73,"TBA",Nozzle!$G$1:$G$73,"additional")</f>
        <v>0</v>
      </c>
      <c r="AL6" s="490">
        <f>SUMIFS(Nozzle!$P$74:$P$146,Nozzle!$A$74:$A$146,"C49",Nozzle!$B$74:$B$146,"303",Nozzle!$F$74:$F$146,"ESSZ")</f>
        <v>0</v>
      </c>
      <c r="AM6" s="491">
        <v>0</v>
      </c>
      <c r="AN6" s="492">
        <f t="shared" si="14"/>
        <v>0</v>
      </c>
    </row>
    <row r="7" spans="1:40" ht="17.399999999999999">
      <c r="A7" s="474">
        <v>304</v>
      </c>
      <c r="B7" s="493">
        <f t="shared" si="2"/>
        <v>24</v>
      </c>
      <c r="C7" s="493">
        <f t="shared" si="3"/>
        <v>0</v>
      </c>
      <c r="D7" s="493">
        <f t="shared" si="4"/>
        <v>24</v>
      </c>
      <c r="E7" s="488">
        <f>SUMIFS(Nozzle!$I$1:$I73,Nozzle!$A$1:$A$73,"C49",Nozzle!$B$1:$B$73,"304",Nozzle!$F$1:$F$73,"ESEL",Nozzle!$H$1:$H$73,"STK",Nozzle!$G$1:$G$73,"随机")</f>
        <v>0</v>
      </c>
      <c r="F7" s="488">
        <f>SUMIFS(Nozzle!$I$1:$I73,Nozzle!$A$1:$A$73,"C49",Nozzle!$B$1:$B$73,"304",Nozzle!$F$1:$F$73,"ESEL",Nozzle!$H$1:$H$73,"STK",Nozzle!$G$1:$G$73,"additional")</f>
        <v>60</v>
      </c>
      <c r="G7" s="488">
        <f>SUMIFS(Nozzle!$O$74:$O$146,Nozzle!$A$74:$A$146,"C49",Nozzle!$B$74:$B$146,"304",Nozzle!$F$74:$F$146,"ESEL",Nozzle!$G$74:$G$146,"随机")</f>
        <v>0</v>
      </c>
      <c r="H7" s="488">
        <f>SUMIFS(Nozzle!$O$74:$O$146,Nozzle!$A$74:$A$146,"C49",Nozzle!$B$74:$B$146,"304",Nozzle!$F$74:$F$146,"ESEL",Nozzle!$G$74:$G$146,"additional")</f>
        <v>36</v>
      </c>
      <c r="I7" s="489">
        <f>SUMIFS(Nozzle!$I$1:$I73,Nozzle!$A$1:$A$73,"C49",Nozzle!$B$1:$B$73,"304",Nozzle!$F$1:$F$73,"ESEL",Nozzle!$H$1:$H$73,"Incoming",Nozzle!$G$1:$G$73,"随机")</f>
        <v>0</v>
      </c>
      <c r="J7" s="489">
        <f>SUMIFS(Nozzle!$I$1:$I73,Nozzle!$A$1:$A$73,"C49",Nozzle!$B$1:$B$73,"304",Nozzle!$F$1:$F$73,"ESEL",Nozzle!$H$1:$H$73,"Incoming",Nozzle!$G$1:$G$73,"additional")</f>
        <v>0</v>
      </c>
      <c r="K7" s="489">
        <f>SUMIFS(Nozzle!$I$1:$I73,Nozzle!$A$1:$A$73,"C49",Nozzle!$B$1:$B$73,"304",Nozzle!$F$1:$F$73,"ESEL",Nozzle!$H$1:$H$73,"TBA",Nozzle!$G$1:$G$73,"随机")</f>
        <v>0</v>
      </c>
      <c r="L7" s="489">
        <f>SUMIFS(Nozzle!$I$1:$I73,Nozzle!$A$1:$A$73,"C49",Nozzle!$B$1:$B$73,"304",Nozzle!$F$1:$F$73,"ESEL",Nozzle!$H$1:$H$73,"TBA",Nozzle!$G$1:$G$73,"additional")</f>
        <v>0</v>
      </c>
      <c r="M7" s="490">
        <f>SUMIFS(Nozzle!$P$74:$P$146,Nozzle!$A$74:$A$146,"C49",Nozzle!$B$74:$B$146,"304",Nozzle!$F$74:$F$146,"ESEL")</f>
        <v>0</v>
      </c>
      <c r="N7" s="491"/>
      <c r="O7" s="512">
        <f t="shared" si="15"/>
        <v>24</v>
      </c>
      <c r="P7" s="532">
        <v>304</v>
      </c>
      <c r="Q7" s="530">
        <f t="shared" si="16"/>
        <v>226</v>
      </c>
      <c r="R7" s="530">
        <f t="shared" si="0"/>
        <v>226</v>
      </c>
      <c r="S7" s="525">
        <f t="shared" si="1"/>
        <v>17</v>
      </c>
      <c r="T7" s="525">
        <f t="shared" si="5"/>
        <v>211</v>
      </c>
      <c r="U7" s="525">
        <f t="shared" si="6"/>
        <v>0</v>
      </c>
      <c r="V7" s="525">
        <f t="shared" si="7"/>
        <v>0</v>
      </c>
      <c r="W7" s="529">
        <f t="shared" si="8"/>
        <v>17</v>
      </c>
      <c r="X7" s="529">
        <f t="shared" si="9"/>
        <v>211</v>
      </c>
      <c r="Y7" s="536">
        <f t="shared" si="10"/>
        <v>228</v>
      </c>
      <c r="Z7" s="513">
        <v>304</v>
      </c>
      <c r="AA7" s="493">
        <f t="shared" si="11"/>
        <v>211</v>
      </c>
      <c r="AB7" s="493">
        <f t="shared" si="12"/>
        <v>0</v>
      </c>
      <c r="AC7" s="493">
        <f t="shared" si="13"/>
        <v>211</v>
      </c>
      <c r="AD7" s="488">
        <f>SUMIFS(Nozzle!$I$1:$I73,Nozzle!$A$1:$A$73,"C49",Nozzle!$B$1:$B$73,"304",Nozzle!$F$1:$F$73,"ESSZ",Nozzle!$H$1:$H$73,"STK",Nozzle!$G$1:$G$73,"随机")</f>
        <v>0</v>
      </c>
      <c r="AE7" s="488">
        <f>SUMIFS(Nozzle!$I$1:$I73,Nozzle!$A$1:$A$73,"C49",Nozzle!$B$1:$B$73,"304",Nozzle!$F$1:$F$73,"ESSZ",Nozzle!$H$1:$H$73,"STK",Nozzle!$G$1:$G$73,"additional")</f>
        <v>211</v>
      </c>
      <c r="AF7" s="488">
        <f>SUMIFS(Nozzle!$O$74:$O$146,Nozzle!$A$74:$A$146,"C49",Nozzle!$B$74:$B$146,"304",Nozzle!$F$74:$F$146,"ESSZ",Nozzle!$G$74:$G$146,"随机")</f>
        <v>0</v>
      </c>
      <c r="AG7" s="488">
        <f>SUMIFS(Nozzle!$O$74:$O$146,Nozzle!$A$74:$A$146,"C49",Nozzle!$B$74:$B$146,"304",Nozzle!$F$74:$F$146,"ESSZ",Nozzle!$G$74:$G$146,"additional")</f>
        <v>0</v>
      </c>
      <c r="AH7" s="489">
        <f>SUMIFS(Nozzle!$I$1:$I73,Nozzle!$A$1:$A$73,"C49",Nozzle!$B$1:$B$73,"304",Nozzle!$F$1:$F$73,"ESSZ",Nozzle!$H$1:$H$73,"Incoming",Nozzle!$G$1:$G$73,"随机")</f>
        <v>0</v>
      </c>
      <c r="AI7" s="489">
        <f>SUMIFS(Nozzle!$I$1:$I73,Nozzle!$A$1:$A$73,"C49",Nozzle!$B$1:$B$73,"304",Nozzle!$F$1:$F$73,"ESSZ",Nozzle!$H$1:$H$73,"Incoming",Nozzle!$G$1:$G$73,"additional")</f>
        <v>0</v>
      </c>
      <c r="AJ7" s="489">
        <f>SUMIFS(Nozzle!$I$1:$I73,Nozzle!$A$1:$A$73,"C49",Nozzle!$B$1:$B$73,"304",Nozzle!$F$1:$F$73,"ESSZ",Nozzle!$H$1:$H$73,"TBA",Nozzle!$G$1:$G$73,"随机")</f>
        <v>0</v>
      </c>
      <c r="AK7" s="489">
        <f>SUMIFS(Nozzle!$I$1:$I73,Nozzle!$A$1:$A$73,"C49",Nozzle!$B$1:$B$73,"304",Nozzle!$F$1:$F$73,"ESSZ",Nozzle!$H$1:$H$73,"TBA",Nozzle!$G$1:$G$73,"additional")</f>
        <v>0</v>
      </c>
      <c r="AL7" s="490">
        <f>SUMIFS(Nozzle!$P$74:$P$146,Nozzle!$A$74:$A$146,"C49",Nozzle!$B$74:$B$146,"304",Nozzle!$F$74:$F$146,"ESSZ")</f>
        <v>0</v>
      </c>
      <c r="AM7" s="491"/>
      <c r="AN7" s="492">
        <f t="shared" si="14"/>
        <v>211</v>
      </c>
    </row>
    <row r="8" spans="1:40" ht="17.399999999999999">
      <c r="A8" s="474">
        <v>305</v>
      </c>
      <c r="B8" s="493">
        <f t="shared" si="2"/>
        <v>18</v>
      </c>
      <c r="C8" s="493">
        <f t="shared" si="3"/>
        <v>0</v>
      </c>
      <c r="D8" s="493">
        <f t="shared" si="4"/>
        <v>18</v>
      </c>
      <c r="E8" s="488">
        <f>SUMIFS(Nozzle!$I$1:$I73,Nozzle!$A$1:$A$73,"C49",Nozzle!$B$1:$B$73,"305",Nozzle!$F$1:$F$73,"ESEL",Nozzle!$H$1:$H$73,"STK",Nozzle!$G$1:$G$73,"随机")</f>
        <v>0</v>
      </c>
      <c r="F8" s="488">
        <f>SUMIFS(Nozzle!$I$1:$I73,Nozzle!$A$1:$A$73,"C49",Nozzle!$B$1:$B$73,"305",Nozzle!$F$1:$F$73,"ESEL",Nozzle!$H$1:$H$73,"STK",Nozzle!$G$1:$G$73,"additional")</f>
        <v>18</v>
      </c>
      <c r="G8" s="488">
        <f>SUMIFS(Nozzle!$O$74:$O$146,Nozzle!$A$74:$A$146,"C49",Nozzle!$B$74:$B$146,"305",Nozzle!$F$74:$F$146,"ESEL",Nozzle!$G$74:$G$146,"随机")</f>
        <v>0</v>
      </c>
      <c r="H8" s="488">
        <f>SUMIFS(Nozzle!$O$74:$O$146,Nozzle!$A$74:$A$146,"C49",Nozzle!$B$74:$B$146,"305",Nozzle!$F$74:$F$146,"ESEL",Nozzle!$G$74:$G$146,"additional")</f>
        <v>0</v>
      </c>
      <c r="I8" s="489">
        <f>SUMIFS(Nozzle!$I$1:$I73,Nozzle!$A$1:$A$73,"C49",Nozzle!$B$1:$B$73,"305",Nozzle!$F$1:$F$73,"ESEL",Nozzle!$H$1:$H$73,"Incoming",Nozzle!$G$1:$G$73,"随机")</f>
        <v>0</v>
      </c>
      <c r="J8" s="489">
        <f>SUMIFS(Nozzle!$I$1:$I73,Nozzle!$A$1:$A$73,"C49",Nozzle!$B$1:$B$73,"305",Nozzle!$F$1:$F$73,"ESEL",Nozzle!$H$1:$H$73,"Incoming",Nozzle!$G$1:$G$73,"additional")</f>
        <v>0</v>
      </c>
      <c r="K8" s="489">
        <f>SUMIFS(Nozzle!$I$1:$I73,Nozzle!$A$1:$A$73,"C49",Nozzle!$B$1:$B$73,"305",Nozzle!$F$1:$F$73,"ESEL",Nozzle!$H$1:$H$73,"TBA",Nozzle!$G$1:$G$73,"随机")</f>
        <v>0</v>
      </c>
      <c r="L8" s="489">
        <f>SUMIFS(Nozzle!$I$1:$I73,Nozzle!$A$1:$A$73,"C49",Nozzle!$B$1:$B$73,"305",Nozzle!$F$1:$F$73,"ESEL",Nozzle!$H$1:$H$73,"TBA",Nozzle!$G$1:$G$73,"additional")</f>
        <v>0</v>
      </c>
      <c r="M8" s="490">
        <f>SUMIFS(Nozzle!$P$74:$P$146,Nozzle!$A$74:$A$146,"C49",Nozzle!$B$74:$B$146,"305",Nozzle!$F$74:$F$146,"ESEL")</f>
        <v>0</v>
      </c>
      <c r="N8" s="491"/>
      <c r="O8" s="512">
        <f t="shared" si="15"/>
        <v>18</v>
      </c>
      <c r="P8" s="532">
        <v>305</v>
      </c>
      <c r="Q8" s="530">
        <f t="shared" si="16"/>
        <v>25</v>
      </c>
      <c r="R8" s="530">
        <f t="shared" si="0"/>
        <v>25</v>
      </c>
      <c r="S8" s="525">
        <f t="shared" si="1"/>
        <v>18</v>
      </c>
      <c r="T8" s="525">
        <f t="shared" si="5"/>
        <v>7</v>
      </c>
      <c r="U8" s="525">
        <f t="shared" si="6"/>
        <v>0</v>
      </c>
      <c r="V8" s="525">
        <f t="shared" si="7"/>
        <v>0</v>
      </c>
      <c r="W8" s="529">
        <f t="shared" si="8"/>
        <v>18</v>
      </c>
      <c r="X8" s="529">
        <f t="shared" si="9"/>
        <v>7</v>
      </c>
      <c r="Y8" s="536">
        <f t="shared" si="10"/>
        <v>25</v>
      </c>
      <c r="Z8" s="513">
        <v>305</v>
      </c>
      <c r="AA8" s="493">
        <f t="shared" si="11"/>
        <v>7</v>
      </c>
      <c r="AB8" s="493">
        <f t="shared" si="12"/>
        <v>0</v>
      </c>
      <c r="AC8" s="493">
        <f t="shared" si="13"/>
        <v>7</v>
      </c>
      <c r="AD8" s="488">
        <f>SUMIFS(Nozzle!$I$1:$I73,Nozzle!$A$1:$A$73,"C49",Nozzle!$B$1:$B$73,"305",Nozzle!$F$1:$F$73,"ESSZ",Nozzle!$H$1:$H$73,"STK",Nozzle!$G$1:$G$73,"随机")</f>
        <v>0</v>
      </c>
      <c r="AE8" s="488">
        <f>SUMIFS(Nozzle!$I$1:$I73,Nozzle!$A$1:$A$73,"C49",Nozzle!$B$1:$B$73,"305",Nozzle!$F$1:$F$73,"ESSZ",Nozzle!$H$1:$H$73,"STK",Nozzle!$G$1:$G$73,"additional")</f>
        <v>7</v>
      </c>
      <c r="AF8" s="488">
        <f>SUMIFS(Nozzle!$O$74:$O$146,Nozzle!$A$74:$A$146,"C49",Nozzle!$B$74:$B$146,"305",Nozzle!$F$74:$F$146,"ESSZ",Nozzle!$G$74:$G$146,"随机")</f>
        <v>0</v>
      </c>
      <c r="AG8" s="488">
        <f>SUMIFS(Nozzle!$O$74:$O$146,Nozzle!$A$74:$A$146,"C49",Nozzle!$B$74:$B$146,"305",Nozzle!$F$74:$F$146,"ESSZ",Nozzle!$G$74:$G$146,"additional")</f>
        <v>0</v>
      </c>
      <c r="AH8" s="489">
        <f>SUMIFS(Nozzle!$I$1:$I73,Nozzle!$A$1:$A$73,"C49",Nozzle!$B$1:$B$73,"305",Nozzle!$F$1:$F$73,"ESSZ",Nozzle!$H$1:$H$73,"Incoming",Nozzle!$G$1:$G$73,"随机")</f>
        <v>0</v>
      </c>
      <c r="AI8" s="489">
        <f>SUMIFS(Nozzle!$I$1:$I73,Nozzle!$A$1:$A$73,"C49",Nozzle!$B$1:$B$73,"305",Nozzle!$F$1:$F$73,"ESSZ",Nozzle!$H$1:$H$73,"Incoming",Nozzle!$G$1:$G$73,"additional")</f>
        <v>0</v>
      </c>
      <c r="AJ8" s="489">
        <f>SUMIFS(Nozzle!$I$1:$I73,Nozzle!$A$1:$A$73,"C49",Nozzle!$B$1:$B$73,"305",Nozzle!$F$1:$F$73,"ESSZ",Nozzle!$H$1:$H$73,"TBA",Nozzle!$G$1:$G$73,"随机")</f>
        <v>0</v>
      </c>
      <c r="AK8" s="489">
        <f>SUMIFS(Nozzle!$I$1:$I73,Nozzle!$A$1:$A$73,"C49",Nozzle!$B$1:$B$73,"305",Nozzle!$F$1:$F$73,"ESSZ",Nozzle!$H$1:$H$73,"TBA",Nozzle!$G$1:$G$73,"additional")</f>
        <v>0</v>
      </c>
      <c r="AL8" s="490">
        <f>SUMIFS(Nozzle!$P$74:$P$146,Nozzle!$A$74:$A$146,"C49",Nozzle!$B$74:$B$146,"305",Nozzle!$F$74:$F$146,"ESSZ")</f>
        <v>0</v>
      </c>
      <c r="AM8" s="491"/>
      <c r="AN8" s="492">
        <f t="shared" si="14"/>
        <v>7</v>
      </c>
    </row>
    <row r="9" spans="1:40" ht="17.399999999999999">
      <c r="A9" s="474">
        <v>306</v>
      </c>
      <c r="B9" s="493">
        <f t="shared" si="2"/>
        <v>9</v>
      </c>
      <c r="C9" s="493">
        <f t="shared" si="3"/>
        <v>0</v>
      </c>
      <c r="D9" s="493">
        <f t="shared" si="4"/>
        <v>9</v>
      </c>
      <c r="E9" s="488">
        <f>SUMIFS(Nozzle!$I$1:$I73,Nozzle!$A$1:$A$73,"C49",Nozzle!$B$1:$B$73,"306",Nozzle!$F$1:$F$73,"ESEL",Nozzle!$H$1:$H$73,"STK",Nozzle!$G$1:$G$73,"随机")</f>
        <v>0</v>
      </c>
      <c r="F9" s="488">
        <f>SUMIFS(Nozzle!$I$1:$I73,Nozzle!$A$1:$A$73,"C49",Nozzle!$B$1:$B$73,"306",Nozzle!$F$1:$F$73,"ESEL",Nozzle!$H$1:$H$73,"STK",Nozzle!$G$1:$G$73,"additional")</f>
        <v>9</v>
      </c>
      <c r="G9" s="488">
        <f>SUMIFS(Nozzle!$O$74:$O$146,Nozzle!$A$74:$A$146,"C49",Nozzle!$B$74:$B$146,"306",Nozzle!$F$74:$F$146,"ESEL",Nozzle!$G$74:$G$146,"随机")</f>
        <v>0</v>
      </c>
      <c r="H9" s="488">
        <f>SUMIFS(Nozzle!$O$74:$O$146,Nozzle!$A$74:$A$146,"C49",Nozzle!$B$74:$B$146,"306",Nozzle!$F$74:$F$146,"ESEL",Nozzle!$G$74:$G$146,"additional")</f>
        <v>0</v>
      </c>
      <c r="I9" s="489">
        <f>SUMIFS(Nozzle!$I$1:$I73,Nozzle!$A$1:$A$73,"C49",Nozzle!$B$1:$B$73,"306",Nozzle!$F$1:$F$73,"ESEL",Nozzle!$H$1:$H$73,"Incoming",Nozzle!$G$1:$G$73,"随机")</f>
        <v>0</v>
      </c>
      <c r="J9" s="489">
        <f>SUMIFS(Nozzle!$I$1:$I73,Nozzle!$A$1:$A$73,"C49",Nozzle!$B$1:$B$73,"306",Nozzle!$F$1:$F$73,"ESEL",Nozzle!$H$1:$H$73,"Incoming",Nozzle!$G$1:$G$73,"additional")</f>
        <v>0</v>
      </c>
      <c r="K9" s="489">
        <f>SUMIFS(Nozzle!$I$1:$I73,Nozzle!$A$1:$A$73,"C49",Nozzle!$B$1:$B$73,"306",Nozzle!$F$1:$F$73,"ESEL",Nozzle!$H$1:$H$73,"TBA",Nozzle!$G$1:$G$73,"随机")</f>
        <v>0</v>
      </c>
      <c r="L9" s="489">
        <f>SUMIFS(Nozzle!$I$1:$I73,Nozzle!$A$1:$A$73,"C49",Nozzle!$B$1:$B$73,"306",Nozzle!$F$1:$F$73,"ESEL",Nozzle!$H$1:$H$73,"TBA",Nozzle!$G$1:$G$73,"additional")</f>
        <v>0</v>
      </c>
      <c r="M9" s="490">
        <f>SUMIFS(Nozzle!$P$74:$P$146,Nozzle!$A$74:$A$146,"C49",Nozzle!$B$74:$B$146,"306",Nozzle!$F$74:$F$146,"ESEL")</f>
        <v>0</v>
      </c>
      <c r="N9" s="491"/>
      <c r="O9" s="512">
        <f t="shared" si="15"/>
        <v>9</v>
      </c>
      <c r="P9" s="532">
        <v>306</v>
      </c>
      <c r="Q9" s="530">
        <f t="shared" si="16"/>
        <v>9</v>
      </c>
      <c r="R9" s="530">
        <f t="shared" si="0"/>
        <v>9</v>
      </c>
      <c r="S9" s="525">
        <f t="shared" si="1"/>
        <v>9</v>
      </c>
      <c r="T9" s="525">
        <f t="shared" si="5"/>
        <v>0</v>
      </c>
      <c r="U9" s="525">
        <f t="shared" si="6"/>
        <v>0</v>
      </c>
      <c r="V9" s="525">
        <f t="shared" si="7"/>
        <v>0</v>
      </c>
      <c r="W9" s="529">
        <f t="shared" si="8"/>
        <v>9</v>
      </c>
      <c r="X9" s="529">
        <f t="shared" si="9"/>
        <v>0</v>
      </c>
      <c r="Y9" s="536">
        <f t="shared" si="10"/>
        <v>9</v>
      </c>
      <c r="Z9" s="513">
        <v>306</v>
      </c>
      <c r="AA9" s="493">
        <f t="shared" si="11"/>
        <v>0</v>
      </c>
      <c r="AB9" s="493">
        <f t="shared" si="12"/>
        <v>0</v>
      </c>
      <c r="AC9" s="493">
        <f t="shared" si="13"/>
        <v>0</v>
      </c>
      <c r="AD9" s="488">
        <f>SUMIFS(Nozzle!$I$1:$I73,Nozzle!$A$1:$A$73,"C49",Nozzle!$B$1:$B$73,"306",Nozzle!$F$1:$F$73,"ESSZ",Nozzle!$H$1:$H$73,"STK",Nozzle!$G$1:$G$73,"随机")</f>
        <v>0</v>
      </c>
      <c r="AE9" s="488">
        <f>SUMIFS(Nozzle!$I$1:$I73,Nozzle!$A$1:$A$73,"C49",Nozzle!$B$1:$B$73,"306",Nozzle!$F$1:$F$73,"ESSZ",Nozzle!$H$1:$H$73,"STK",Nozzle!$G$1:$G$73,"additional")</f>
        <v>0</v>
      </c>
      <c r="AF9" s="488">
        <f>SUMIFS(Nozzle!$O$74:$O$146,Nozzle!$A$74:$A$146,"C49",Nozzle!$B$74:$B$146,"306",Nozzle!$F$74:$F$146,"ESSZ",Nozzle!$G$74:$G$146,"随机")</f>
        <v>0</v>
      </c>
      <c r="AG9" s="488">
        <f>SUMIFS(Nozzle!$O$74:$O$146,Nozzle!$A$74:$A$146,"C49",Nozzle!$B$74:$B$146,"306",Nozzle!$F$74:$F$146,"ESSZ",Nozzle!$G$74:$G$146,"additional")</f>
        <v>0</v>
      </c>
      <c r="AH9" s="489">
        <f>SUMIFS(Nozzle!$I$1:$I73,Nozzle!$A$1:$A$73,"C49",Nozzle!$B$1:$B$73,"306",Nozzle!$F$1:$F$73,"ESSZ",Nozzle!$H$1:$H$73,"Incoming",Nozzle!$G$1:$G$73,"随机")</f>
        <v>0</v>
      </c>
      <c r="AI9" s="489">
        <f>SUMIFS(Nozzle!$I$1:$I73,Nozzle!$A$1:$A$73,"C49",Nozzle!$B$1:$B$73,"306",Nozzle!$F$1:$F$73,"ESSZ",Nozzle!$H$1:$H$73,"Incoming",Nozzle!$G$1:$G$73,"additional")</f>
        <v>0</v>
      </c>
      <c r="AJ9" s="489">
        <f>SUMIFS(Nozzle!$I$1:$I73,Nozzle!$A$1:$A$73,"C49",Nozzle!$B$1:$B$73,"306",Nozzle!$F$1:$F$73,"ESSZ",Nozzle!$H$1:$H$73,"TBA",Nozzle!$G$1:$G$73,"随机")</f>
        <v>0</v>
      </c>
      <c r="AK9" s="489">
        <f>SUMIFS(Nozzle!$I$1:$I73,Nozzle!$A$1:$A$73,"C49",Nozzle!$B$1:$B$73,"306",Nozzle!$F$1:$F$73,"ESSZ",Nozzle!$H$1:$H$73,"TBA",Nozzle!$G$1:$G$73,"additional")</f>
        <v>0</v>
      </c>
      <c r="AL9" s="490">
        <f>SUMIFS(Nozzle!$P$74:$P$146,Nozzle!$A$74:$A$146,"C49",Nozzle!$B$74:$B$146,"306",Nozzle!$F$74:$F$146,"ESSZ")</f>
        <v>0</v>
      </c>
      <c r="AM9" s="491"/>
      <c r="AN9" s="492">
        <f t="shared" si="14"/>
        <v>0</v>
      </c>
    </row>
    <row r="10" spans="1:40" ht="17.399999999999999">
      <c r="A10" s="474">
        <v>307</v>
      </c>
      <c r="B10" s="493">
        <f t="shared" si="2"/>
        <v>16</v>
      </c>
      <c r="C10" s="493">
        <f t="shared" si="3"/>
        <v>0</v>
      </c>
      <c r="D10" s="493">
        <f t="shared" si="4"/>
        <v>16</v>
      </c>
      <c r="E10" s="488">
        <f>SUMIFS(Nozzle!$I$1:$I73,Nozzle!$A$1:$A$73,"C49",Nozzle!$B$1:$B$73,"307",Nozzle!$F$1:$F$73,"ESEL",Nozzle!$H$1:$H$73,"STK",Nozzle!$G$1:$G$73,"随机")</f>
        <v>0</v>
      </c>
      <c r="F10" s="488">
        <f>SUMIFS(Nozzle!$I$1:$I73,Nozzle!$A$1:$A$73,"C49",Nozzle!$B$1:$B$73,"307",Nozzle!$F$1:$F$73,"ESEL",Nozzle!$H$1:$H$73,"STK",Nozzle!$G$1:$G$73,"additional")</f>
        <v>16</v>
      </c>
      <c r="G10" s="488">
        <f>SUMIFS(Nozzle!$O$74:$O$146,Nozzle!$A$74:$A$146,"C49",Nozzle!$B$74:$B$146,"307",Nozzle!$F$74:$F$146,"ESEL",Nozzle!$G$74:$G$146,"随机")</f>
        <v>0</v>
      </c>
      <c r="H10" s="488">
        <f>SUMIFS(Nozzle!$O$74:$O$146,Nozzle!$A$74:$A$146,"C49",Nozzle!$B$74:$B$146,"307",Nozzle!$F$74:$F$146,"ESEL",Nozzle!$G$74:$G$146,"additional")</f>
        <v>0</v>
      </c>
      <c r="I10" s="489">
        <f>SUMIFS(Nozzle!$I$1:$I73,Nozzle!$A$1:$A$73,"C49",Nozzle!$B$1:$B$73,"307",Nozzle!$F$1:$F$73,"ESEL",Nozzle!$H$1:$H$73,"Incoming",Nozzle!$G$1:$G$73,"随机")</f>
        <v>0</v>
      </c>
      <c r="J10" s="489">
        <f>SUMIFS(Nozzle!$I$1:$I73,Nozzle!$A$1:$A$73,"C49",Nozzle!$B$1:$B$73,"307",Nozzle!$F$1:$F$73,"ESEL",Nozzle!$H$1:$H$73,"Incoming",Nozzle!$G$1:$G$73,"additional")</f>
        <v>0</v>
      </c>
      <c r="K10" s="489">
        <f>SUMIFS(Nozzle!$I$1:$I73,Nozzle!$A$1:$A$73,"C49",Nozzle!$B$1:$B$73,"307",Nozzle!$F$1:$F$73,"ESEL",Nozzle!$H$1:$H$73,"TBA",Nozzle!$G$1:$G$73,"随机")</f>
        <v>0</v>
      </c>
      <c r="L10" s="489">
        <f>SUMIFS(Nozzle!$I$1:$I73,Nozzle!$A$1:$A$73,"C49",Nozzle!$B$1:$B$73,"307",Nozzle!$F$1:$F$73,"ESEL",Nozzle!$H$1:$H$73,"TBA",Nozzle!$G$1:$G$73,"additional")</f>
        <v>0</v>
      </c>
      <c r="M10" s="490">
        <f>SUMIFS(Nozzle!$P$74:$P$146,Nozzle!$A$74:$A$146,"C49",Nozzle!$B$74:$B$146,"307",Nozzle!$F$74:$F$146,"ESEL")</f>
        <v>0</v>
      </c>
      <c r="N10" s="491"/>
      <c r="O10" s="512">
        <f t="shared" si="15"/>
        <v>16</v>
      </c>
      <c r="P10" s="532">
        <v>307</v>
      </c>
      <c r="Q10" s="530">
        <f t="shared" si="16"/>
        <v>16</v>
      </c>
      <c r="R10" s="530">
        <f t="shared" si="0"/>
        <v>16</v>
      </c>
      <c r="S10" s="525">
        <f t="shared" si="1"/>
        <v>16</v>
      </c>
      <c r="T10" s="525">
        <f t="shared" si="5"/>
        <v>0</v>
      </c>
      <c r="U10" s="525">
        <f t="shared" si="6"/>
        <v>0</v>
      </c>
      <c r="V10" s="525">
        <f t="shared" si="7"/>
        <v>0</v>
      </c>
      <c r="W10" s="529">
        <f t="shared" si="8"/>
        <v>16</v>
      </c>
      <c r="X10" s="529">
        <f t="shared" si="9"/>
        <v>0</v>
      </c>
      <c r="Y10" s="536">
        <f t="shared" si="10"/>
        <v>16</v>
      </c>
      <c r="Z10" s="513">
        <v>307</v>
      </c>
      <c r="AA10" s="493">
        <f t="shared" si="11"/>
        <v>0</v>
      </c>
      <c r="AB10" s="493">
        <f t="shared" si="12"/>
        <v>0</v>
      </c>
      <c r="AC10" s="493">
        <f t="shared" si="13"/>
        <v>0</v>
      </c>
      <c r="AD10" s="488">
        <f>SUMIFS(Nozzle!$I$1:$I73,Nozzle!$A$1:$A$73,"C49",Nozzle!$B$1:$B$73,"307",Nozzle!$F$1:$F$73,"ESSZ",Nozzle!$H$1:$H$73,"STK",Nozzle!$G$1:$G$73,"随机")</f>
        <v>0</v>
      </c>
      <c r="AE10" s="488">
        <f>SUMIFS(Nozzle!$I$1:$I73,Nozzle!$A$1:$A$73,"C49",Nozzle!$B$1:$B$73,"307",Nozzle!$F$1:$F$73,"ESSZ",Nozzle!$H$1:$H$73,"STK",Nozzle!$G$1:$G$73,"additional")</f>
        <v>0</v>
      </c>
      <c r="AF10" s="488">
        <f>SUMIFS(Nozzle!$O$74:$O$146,Nozzle!$A$74:$A$146,"C49",Nozzle!$B$74:$B$146,"307",Nozzle!$F$74:$F$146,"ESSZ",Nozzle!$G$74:$G$146,"随机")</f>
        <v>0</v>
      </c>
      <c r="AG10" s="488">
        <f>SUMIFS(Nozzle!$O$74:$O$146,Nozzle!$A$74:$A$146,"C49",Nozzle!$B$74:$B$146,"307",Nozzle!$F$74:$F$146,"ESSZ",Nozzle!$G$74:$G$146,"additional")</f>
        <v>0</v>
      </c>
      <c r="AH10" s="489">
        <f>SUMIFS(Nozzle!$I$1:$I73,Nozzle!$A$1:$A$73,"C49",Nozzle!$B$1:$B$73,"307",Nozzle!$F$1:$F$73,"ESSZ",Nozzle!$H$1:$H$73,"Incoming",Nozzle!$G$1:$G$73,"随机")</f>
        <v>0</v>
      </c>
      <c r="AI10" s="489">
        <f>SUMIFS(Nozzle!$I$1:$I73,Nozzle!$A$1:$A$73,"C49",Nozzle!$B$1:$B$73,"307",Nozzle!$F$1:$F$73,"ESSZ",Nozzle!$H$1:$H$73,"Incoming",Nozzle!$G$1:$G$73,"additional")</f>
        <v>0</v>
      </c>
      <c r="AJ10" s="489">
        <f>SUMIFS(Nozzle!$I$1:$I73,Nozzle!$A$1:$A$73,"C49",Nozzle!$B$1:$B$73,"307",Nozzle!$F$1:$F$73,"ESSZ",Nozzle!$H$1:$H$73,"TBA",Nozzle!$G$1:$G$73,"随机")</f>
        <v>0</v>
      </c>
      <c r="AK10" s="489">
        <f>SUMIFS(Nozzle!$I$1:$I73,Nozzle!$A$1:$A$73,"C49",Nozzle!$B$1:$B$73,"307",Nozzle!$F$1:$F$73,"ESSZ",Nozzle!$H$1:$H$73,"TBA",Nozzle!$G$1:$G$73,"additional")</f>
        <v>0</v>
      </c>
      <c r="AL10" s="490">
        <f>SUMIFS(Nozzle!$P$74:$P$146,Nozzle!$A$74:$A$146,"C49",Nozzle!$B$74:$B$146,"307",Nozzle!$F$74:$F$146,"ESSZ")</f>
        <v>0</v>
      </c>
      <c r="AM10" s="491"/>
      <c r="AN10" s="492">
        <f t="shared" si="14"/>
        <v>0</v>
      </c>
    </row>
    <row r="11" spans="1:40" ht="17.399999999999999">
      <c r="A11" s="474">
        <v>309</v>
      </c>
      <c r="B11" s="493">
        <f t="shared" si="2"/>
        <v>3</v>
      </c>
      <c r="C11" s="493">
        <f t="shared" si="3"/>
        <v>0</v>
      </c>
      <c r="D11" s="493">
        <f t="shared" si="4"/>
        <v>3</v>
      </c>
      <c r="E11" s="488">
        <f>SUMIFS(Nozzle!$I$1:$I73,Nozzle!$A$1:$A$73,"C49",Nozzle!$B$1:$B$73,"309",Nozzle!$F$1:$F$73,"ESEL",Nozzle!$H$1:$H$73,"STK",Nozzle!$G$1:$G$73,"随机")</f>
        <v>0</v>
      </c>
      <c r="F11" s="488">
        <f>SUMIFS(Nozzle!$I$1:$I73,Nozzle!$A$1:$A$73,"C49",Nozzle!$B$1:$B$73,"309",Nozzle!$F$1:$F$73,"ESEL",Nozzle!$H$1:$H$73,"STK",Nozzle!$G$1:$G$73,"additional")</f>
        <v>3</v>
      </c>
      <c r="G11" s="488">
        <f>SUMIFS(Nozzle!$O$74:$O$146,Nozzle!$A$74:$A$146,"C49",Nozzle!$B$74:$B$146,"309",Nozzle!$F$74:$F$146,"ESEL",Nozzle!$G$74:$G$146,"随机")</f>
        <v>0</v>
      </c>
      <c r="H11" s="488">
        <f>SUMIFS(Nozzle!$O$74:$O$146,Nozzle!$A$74:$A$146,"C49",Nozzle!$B$74:$B$146,"309",Nozzle!$F$74:$F$146,"ESEL",Nozzle!$G$74:$G$146,"additional")</f>
        <v>0</v>
      </c>
      <c r="I11" s="489">
        <f>SUMIFS(Nozzle!$I$1:$I73,Nozzle!$A$1:$A$73,"C49",Nozzle!$B$1:$B$73,"309",Nozzle!$F$1:$F$73,"ESEL",Nozzle!$H$1:$H$73,"Incoming",Nozzle!$G$1:$G$73,"随机")</f>
        <v>0</v>
      </c>
      <c r="J11" s="489">
        <f>SUMIFS(Nozzle!$I$1:$I73,Nozzle!$A$1:$A$73,"C49",Nozzle!$B$1:$B$73,"309",Nozzle!$F$1:$F$73,"ESEL",Nozzle!$H$1:$H$73,"Incoming",Nozzle!$G$1:$G$73,"additional")</f>
        <v>0</v>
      </c>
      <c r="K11" s="489">
        <f>SUMIFS(Nozzle!$I$1:$I73,Nozzle!$A$1:$A$73,"C49",Nozzle!$B$1:$B$73,"309",Nozzle!$F$1:$F$73,"ESEL",Nozzle!$H$1:$H$73,"TBA",Nozzle!$G$1:$G$73,"随机")</f>
        <v>0</v>
      </c>
      <c r="L11" s="489">
        <f>SUMIFS(Nozzle!$I$1:$I73,Nozzle!$A$1:$A$73,"C49",Nozzle!$B$1:$B$73,"309",Nozzle!$F$1:$F$73,"ESEL",Nozzle!$H$1:$H$73,"TBA",Nozzle!$G$1:$G$73,"additional")</f>
        <v>0</v>
      </c>
      <c r="M11" s="490">
        <f>SUMIFS(Nozzle!$P$74:$P$146,Nozzle!$A$74:$A$146,"C49",Nozzle!$B$74:$B$146,"309",Nozzle!$F$74:$F$146,"ESEL")</f>
        <v>0</v>
      </c>
      <c r="N11" s="491"/>
      <c r="O11" s="512">
        <f t="shared" si="15"/>
        <v>3</v>
      </c>
      <c r="P11" s="532">
        <v>309</v>
      </c>
      <c r="Q11" s="530">
        <f t="shared" si="16"/>
        <v>8</v>
      </c>
      <c r="R11" s="530">
        <f t="shared" si="0"/>
        <v>8</v>
      </c>
      <c r="S11" s="525">
        <f t="shared" si="1"/>
        <v>3</v>
      </c>
      <c r="T11" s="525">
        <f t="shared" si="5"/>
        <v>5</v>
      </c>
      <c r="U11" s="525">
        <f t="shared" si="6"/>
        <v>0</v>
      </c>
      <c r="V11" s="525">
        <f t="shared" si="7"/>
        <v>0</v>
      </c>
      <c r="W11" s="529">
        <f t="shared" si="8"/>
        <v>3</v>
      </c>
      <c r="X11" s="529">
        <f t="shared" si="9"/>
        <v>5</v>
      </c>
      <c r="Y11" s="536">
        <f t="shared" si="10"/>
        <v>8</v>
      </c>
      <c r="Z11" s="513">
        <v>309</v>
      </c>
      <c r="AA11" s="493">
        <f t="shared" si="11"/>
        <v>5</v>
      </c>
      <c r="AB11" s="493">
        <f t="shared" si="12"/>
        <v>0</v>
      </c>
      <c r="AC11" s="493">
        <f t="shared" si="13"/>
        <v>5</v>
      </c>
      <c r="AD11" s="488">
        <f>SUMIFS(Nozzle!$I$1:$I73,Nozzle!$A$1:$A$73,"C49",Nozzle!$B$1:$B$73,"309",Nozzle!$F$1:$F$73,"ESSZ",Nozzle!$H$1:$H$73,"STK",Nozzle!$G$1:$G$73,"随机")</f>
        <v>0</v>
      </c>
      <c r="AE11" s="488">
        <f>SUMIFS(Nozzle!$I$1:$I73,Nozzle!$A$1:$A$73,"C49",Nozzle!$B$1:$B$73,"309",Nozzle!$F$1:$F$73,"ESSZ",Nozzle!$H$1:$H$73,"STK",Nozzle!$G$1:$G$73,"additional")</f>
        <v>5</v>
      </c>
      <c r="AF11" s="488">
        <f>SUMIFS(Nozzle!$O$74:$O$146,Nozzle!$A$74:$A$146,"C49",Nozzle!$B$74:$B$146,"309",Nozzle!$F$74:$F$146,"ESSZ",Nozzle!$G$74:$G$146,"随机")</f>
        <v>0</v>
      </c>
      <c r="AG11" s="488">
        <f>SUMIFS(Nozzle!$O$74:$O$146,Nozzle!$A$74:$A$146,"C49",Nozzle!$B$74:$B$146,"309",Nozzle!$F$74:$F$146,"ESSZ",Nozzle!$G$74:$G$146,"additional")</f>
        <v>0</v>
      </c>
      <c r="AH11" s="489">
        <f>SUMIFS(Nozzle!$I$1:$I73,Nozzle!$A$1:$A$73,"C49",Nozzle!$B$1:$B$73,"309",Nozzle!$F$1:$F$73,"ESSZ",Nozzle!$H$1:$H$73,"Incoming",Nozzle!$G$1:$G$73,"随机")</f>
        <v>0</v>
      </c>
      <c r="AI11" s="489">
        <f>SUMIFS(Nozzle!$I$1:$I73,Nozzle!$A$1:$A$73,"C49",Nozzle!$B$1:$B$73,"309",Nozzle!$F$1:$F$73,"ESSZ",Nozzle!$H$1:$H$73,"Incoming",Nozzle!$G$1:$G$73,"additional")</f>
        <v>0</v>
      </c>
      <c r="AJ11" s="489">
        <f>SUMIFS(Nozzle!$I$1:$I73,Nozzle!$A$1:$A$73,"C49",Nozzle!$B$1:$B$73,"309",Nozzle!$F$1:$F$73,"ESSZ",Nozzle!$H$1:$H$73,"TBA",Nozzle!$G$1:$G$73,"随机")</f>
        <v>0</v>
      </c>
      <c r="AK11" s="489">
        <f>SUMIFS(Nozzle!$I$1:$I73,Nozzle!$A$1:$A$73,"C49",Nozzle!$B$1:$B$73,"309",Nozzle!$F$1:$F$73,"ESSZ",Nozzle!$H$1:$H$73,"TBA",Nozzle!$G$1:$G$73,"additional")</f>
        <v>0</v>
      </c>
      <c r="AL11" s="490">
        <f>SUMIFS(Nozzle!$P$74:$P$146,Nozzle!$A$74:$A$146,"C49",Nozzle!$B$74:$B$146,"309",Nozzle!$F$74:$F$146,"ESSZ")</f>
        <v>0</v>
      </c>
      <c r="AM11" s="491"/>
      <c r="AN11" s="492">
        <f t="shared" si="14"/>
        <v>5</v>
      </c>
    </row>
    <row r="12" spans="1:40" ht="17.399999999999999">
      <c r="A12" s="474">
        <v>310</v>
      </c>
      <c r="B12" s="493">
        <f t="shared" si="2"/>
        <v>7</v>
      </c>
      <c r="C12" s="493">
        <f t="shared" si="3"/>
        <v>0</v>
      </c>
      <c r="D12" s="493">
        <f t="shared" si="4"/>
        <v>7</v>
      </c>
      <c r="E12" s="488">
        <f>SUMIFS(Nozzle!$I$1:$I73,Nozzle!$A$1:$A$73,"C49",Nozzle!$B$1:$B$73,"310",Nozzle!$F$1:$F$73,"ESEL",Nozzle!$H$1:$H$73,"STK",Nozzle!$G$1:$G$73,"随机")</f>
        <v>0</v>
      </c>
      <c r="F12" s="488">
        <f>SUMIFS(Nozzle!$I$1:$I73,Nozzle!$A$1:$A$73,"C49",Nozzle!$B$1:$B$73,"310",Nozzle!$F$1:$F$73,"ESEL",Nozzle!$H$1:$H$73,"STK",Nozzle!$G$1:$G$73,"additional")</f>
        <v>7</v>
      </c>
      <c r="G12" s="488">
        <f>SUMIFS(Nozzle!$O$74:$O$146,Nozzle!$A$74:$A$146,"C49",Nozzle!$B$74:$B$146,"310",Nozzle!$F$74:$F$146,"ESEL",Nozzle!$G$74:$G$146,"随机")</f>
        <v>0</v>
      </c>
      <c r="H12" s="488">
        <f>SUMIFS(Nozzle!$O$74:$O$146,Nozzle!$A$74:$A$146,"C49",Nozzle!$B$74:$B$146,"310",Nozzle!$F$74:$F$146,"ESEL",Nozzle!$G$74:$G$146,"additional")</f>
        <v>0</v>
      </c>
      <c r="I12" s="489">
        <f>SUMIFS(Nozzle!$I$1:$I73,Nozzle!$A$1:$A$73,"C49",Nozzle!$B$1:$B$73,"310",Nozzle!$F$1:$F$73,"ESEL",Nozzle!$H$1:$H$73,"Incoming",Nozzle!$G$1:$G$73,"随机")</f>
        <v>0</v>
      </c>
      <c r="J12" s="489">
        <f>SUMIFS(Nozzle!$I$1:$I73,Nozzle!$A$1:$A$73,"C49",Nozzle!$B$1:$B$73,"310",Nozzle!$F$1:$F$73,"ESEL",Nozzle!$H$1:$H$73,"Incoming",Nozzle!$G$1:$G$73,"additional")</f>
        <v>0</v>
      </c>
      <c r="K12" s="489">
        <f>SUMIFS(Nozzle!$I$1:$I73,Nozzle!$A$1:$A$73,"C49",Nozzle!$B$1:$B$73,"310",Nozzle!$F$1:$F$73,"ESEL",Nozzle!$H$1:$H$73,"TBA",Nozzle!$G$1:$G$73,"随机")</f>
        <v>0</v>
      </c>
      <c r="L12" s="489">
        <f>SUMIFS(Nozzle!$I$1:$I73,Nozzle!$A$1:$A$73,"C49",Nozzle!$B$1:$B$73,"310",Nozzle!$F$1:$F$73,"ESEL",Nozzle!$H$1:$H$73,"TBA",Nozzle!$G$1:$G$73,"additional")</f>
        <v>0</v>
      </c>
      <c r="M12" s="490">
        <f>SUMIFS(Nozzle!$P$74:$P$146,Nozzle!$A$74:$A$146,"C49",Nozzle!$B$74:$B$146,"310",Nozzle!$F$74:$F$146,"ESEL")</f>
        <v>0</v>
      </c>
      <c r="N12" s="491"/>
      <c r="O12" s="512">
        <f t="shared" si="15"/>
        <v>7</v>
      </c>
      <c r="P12" s="532">
        <v>310</v>
      </c>
      <c r="Q12" s="530">
        <f t="shared" si="16"/>
        <v>247</v>
      </c>
      <c r="R12" s="530">
        <f t="shared" si="0"/>
        <v>247</v>
      </c>
      <c r="S12" s="525">
        <f t="shared" si="1"/>
        <v>7</v>
      </c>
      <c r="T12" s="525">
        <f t="shared" si="5"/>
        <v>240</v>
      </c>
      <c r="U12" s="525">
        <f t="shared" si="6"/>
        <v>0</v>
      </c>
      <c r="V12" s="525">
        <f t="shared" si="7"/>
        <v>0</v>
      </c>
      <c r="W12" s="529">
        <f t="shared" si="8"/>
        <v>7</v>
      </c>
      <c r="X12" s="529">
        <f t="shared" si="9"/>
        <v>240</v>
      </c>
      <c r="Y12" s="536">
        <f t="shared" si="10"/>
        <v>247</v>
      </c>
      <c r="Z12" s="513">
        <v>310</v>
      </c>
      <c r="AA12" s="493">
        <f t="shared" si="11"/>
        <v>240</v>
      </c>
      <c r="AB12" s="493">
        <f t="shared" si="12"/>
        <v>0</v>
      </c>
      <c r="AC12" s="493">
        <f t="shared" si="13"/>
        <v>240</v>
      </c>
      <c r="AD12" s="488">
        <f>SUMIFS(Nozzle!$I$1:$I73,Nozzle!$A$1:$A$73,"C49",Nozzle!$B$1:$B$73,"310",Nozzle!$F$1:$F$73,"ESSZ",Nozzle!$H$1:$H$73,"STK",Nozzle!$G$1:$G$73,"随机")</f>
        <v>0</v>
      </c>
      <c r="AE12" s="488">
        <f>SUMIFS(Nozzle!$I$1:$I73,Nozzle!$A$1:$A$73,"C49",Nozzle!$B$1:$B$73,"310",Nozzle!$F$1:$F$73,"ESSZ",Nozzle!$H$1:$H$73,"STK",Nozzle!$G$1:$G$73,"additional")</f>
        <v>240</v>
      </c>
      <c r="AF12" s="488">
        <f>SUMIFS(Nozzle!$O$74:$O$146,Nozzle!$A$74:$A$146,"C49",Nozzle!$B$74:$B$146,"310",Nozzle!$F$74:$F$146,"ESSZ",Nozzle!$G$74:$G$146,"随机")</f>
        <v>0</v>
      </c>
      <c r="AG12" s="488">
        <f>SUMIFS(Nozzle!$O$74:$O$146,Nozzle!$A$74:$A$146,"C49",Nozzle!$B$74:$B$146,"310",Nozzle!$F$74:$F$146,"ESSZ",Nozzle!$G$74:$G$146,"additional")</f>
        <v>0</v>
      </c>
      <c r="AH12" s="489">
        <f>SUMIFS(Nozzle!$I$1:$I73,Nozzle!$A$1:$A$73,"C49",Nozzle!$B$1:$B$73,"310",Nozzle!$F$1:$F$73,"ESSZ",Nozzle!$H$1:$H$73,"Incoming",Nozzle!$G$1:$G$73,"随机")</f>
        <v>0</v>
      </c>
      <c r="AI12" s="489">
        <f>SUMIFS(Nozzle!$I$1:$I73,Nozzle!$A$1:$A$73,"C49",Nozzle!$B$1:$B$73,"310",Nozzle!$F$1:$F$73,"ESSZ",Nozzle!$H$1:$H$73,"Incoming",Nozzle!$G$1:$G$73,"additional")</f>
        <v>0</v>
      </c>
      <c r="AJ12" s="489">
        <f>SUMIFS(Nozzle!$I$1:$I73,Nozzle!$A$1:$A$73,"C49",Nozzle!$B$1:$B$73,"310",Nozzle!$F$1:$F$73,"ESSZ",Nozzle!$H$1:$H$73,"TBA",Nozzle!$G$1:$G$73,"随机")</f>
        <v>0</v>
      </c>
      <c r="AK12" s="489">
        <f>SUMIFS(Nozzle!$I$1:$I73,Nozzle!$A$1:$A$73,"C49",Nozzle!$B$1:$B$73,"310",Nozzle!$F$1:$F$73,"ESSZ",Nozzle!$H$1:$H$73,"TBA",Nozzle!$G$1:$G$73,"additional")</f>
        <v>0</v>
      </c>
      <c r="AL12" s="490">
        <f>SUMIFS(Nozzle!$P$74:$P$146,Nozzle!$A$74:$A$146,"C49",Nozzle!$B$74:$B$146,"310",Nozzle!$F$74:$F$146,"ESSZ")</f>
        <v>0</v>
      </c>
      <c r="AM12" s="491"/>
      <c r="AN12" s="492">
        <f t="shared" si="14"/>
        <v>240</v>
      </c>
    </row>
    <row r="13" spans="1:40" ht="17.399999999999999">
      <c r="A13" s="474">
        <v>311</v>
      </c>
      <c r="B13" s="493">
        <f t="shared" si="2"/>
        <v>50</v>
      </c>
      <c r="C13" s="493">
        <f t="shared" si="3"/>
        <v>40</v>
      </c>
      <c r="D13" s="493">
        <f t="shared" si="4"/>
        <v>10</v>
      </c>
      <c r="E13" s="488">
        <f>SUMIFS(Nozzle!$I$1:$I73,Nozzle!$A$1:$A$73,"C49",Nozzle!$B$1:$B$73,"311",Nozzle!$F$1:$F$73,"ESEL",Nozzle!$H$1:$H$73,"STK",Nozzle!$G$1:$G$73,"随机")</f>
        <v>40</v>
      </c>
      <c r="F13" s="488">
        <f>SUMIFS(Nozzle!$I$1:$I73,Nozzle!$A$1:$A$73,"C49",Nozzle!$B$1:$B$73,"311",Nozzle!$F$1:$F$73,"ESEL",Nozzle!$H$1:$H$73,"STK",Nozzle!$G$1:$G$73,"additional")</f>
        <v>16</v>
      </c>
      <c r="G13" s="488">
        <f>SUMIFS(Nozzle!$O$74:$O$146,Nozzle!$A$74:$A$146,"C49",Nozzle!$B$74:$B$146,"311",Nozzle!$F$74:$F$146,"ESEL",Nozzle!$G$74:$G$146,"随机")</f>
        <v>0</v>
      </c>
      <c r="H13" s="488">
        <f>SUMIFS(Nozzle!$O$74:$O$146,Nozzle!$A$74:$A$146,"C49",Nozzle!$B$74:$B$146,"311",Nozzle!$F$74:$F$146,"ESEL",Nozzle!$G$74:$G$146,"additional")</f>
        <v>6</v>
      </c>
      <c r="I13" s="489">
        <f>SUMIFS(Nozzle!$I$1:$I73,Nozzle!$A$1:$A$73,"C49",Nozzle!$B$1:$B$73,"311",Nozzle!$F$1:$F$73,"ESEL",Nozzle!$H$1:$H$73,"Incoming",Nozzle!$G$1:$G$73,"随机")</f>
        <v>0</v>
      </c>
      <c r="J13" s="489">
        <f>SUMIFS(Nozzle!$I$1:$I73,Nozzle!$A$1:$A$73,"C49",Nozzle!$B$1:$B$73,"311",Nozzle!$F$1:$F$73,"ESEL",Nozzle!$H$1:$H$73,"Incoming",Nozzle!$G$1:$G$73,"additional")</f>
        <v>0</v>
      </c>
      <c r="K13" s="489">
        <f>SUMIFS(Nozzle!$I$1:$I73,Nozzle!$A$1:$A$73,"C49",Nozzle!$B$1:$B$73,"311",Nozzle!$F$1:$F$73,"ESEL",Nozzle!$H$1:$H$73,"TBA",Nozzle!$G$1:$G$73,"随机")</f>
        <v>0</v>
      </c>
      <c r="L13" s="489">
        <f>SUMIFS(Nozzle!$I$1:$I73,Nozzle!$A$1:$A$73,"C49",Nozzle!$B$1:$B$73,"311",Nozzle!$F$1:$F$73,"ESEL",Nozzle!$H$1:$H$73,"TBA",Nozzle!$G$1:$G$73,"additional")</f>
        <v>0</v>
      </c>
      <c r="M13" s="490">
        <f>SUMIFS(Nozzle!$P$74:$P$146,Nozzle!$A$74:$A$146,"C49",Nozzle!$B$74:$B$146,"311",Nozzle!$F$74:$F$146,"ESEL")</f>
        <v>0</v>
      </c>
      <c r="N13" s="491"/>
      <c r="O13" s="512">
        <f>B13+I13+J13+K13+L13-M13-N13</f>
        <v>50</v>
      </c>
      <c r="P13" s="532">
        <v>311</v>
      </c>
      <c r="Q13" s="530">
        <f t="shared" si="16"/>
        <v>156</v>
      </c>
      <c r="R13" s="530">
        <f t="shared" si="0"/>
        <v>116</v>
      </c>
      <c r="S13" s="525">
        <f t="shared" si="1"/>
        <v>0</v>
      </c>
      <c r="T13" s="525">
        <f t="shared" si="5"/>
        <v>126</v>
      </c>
      <c r="U13" s="525">
        <f t="shared" si="6"/>
        <v>40</v>
      </c>
      <c r="V13" s="525">
        <f t="shared" si="7"/>
        <v>0</v>
      </c>
      <c r="W13" s="529">
        <f t="shared" si="8"/>
        <v>40</v>
      </c>
      <c r="X13" s="529">
        <f t="shared" si="9"/>
        <v>126</v>
      </c>
      <c r="Y13" s="536">
        <f t="shared" si="10"/>
        <v>126</v>
      </c>
      <c r="Z13" s="513">
        <v>311</v>
      </c>
      <c r="AA13" s="493">
        <f t="shared" si="11"/>
        <v>126</v>
      </c>
      <c r="AB13" s="493">
        <f t="shared" si="12"/>
        <v>0</v>
      </c>
      <c r="AC13" s="493">
        <f>AE13-AG13</f>
        <v>126</v>
      </c>
      <c r="AD13" s="488">
        <f>SUMIFS(Nozzle!$I$1:$I73,Nozzle!$A$1:$A$73,"C49",Nozzle!$B$1:$B$73,"311",Nozzle!$F$1:$F$73,"ESSZ",Nozzle!$H$1:$H$73,"STK",Nozzle!$G$1:$G$73,"随机")</f>
        <v>0</v>
      </c>
      <c r="AE13" s="488">
        <f>SUMIFS(Nozzle!$I$1:$I73,Nozzle!$A$1:$A$73,"C49",Nozzle!$B$1:$B$73,"311",Nozzle!$F$1:$F$73,"ESSZ",Nozzle!$H$1:$H$73,"STK",Nozzle!$G$1:$G$73,"additional")</f>
        <v>325</v>
      </c>
      <c r="AF13" s="488">
        <f>SUMIFS(Nozzle!$O$74:$O$146,Nozzle!$A$74:$A$146,"C49",Nozzle!$B$74:$B$146,"311",Nozzle!$F$74:$F$146,"ESSZ",Nozzle!$G$74:$G$146,"随机")</f>
        <v>0</v>
      </c>
      <c r="AG13" s="488">
        <f>SUMIFS(Nozzle!$O$74:$O$146,Nozzle!$A$74:$A$146,"C49",Nozzle!$B$74:$B$146,"311",Nozzle!$F$74:$F$146,"ESSZ",Nozzle!$G$74:$G$146,"additional")</f>
        <v>199</v>
      </c>
      <c r="AH13" s="489">
        <f>SUMIFS(Nozzle!$I$1:$I73,Nozzle!$A$1:$A$73,"C49",Nozzle!$B$1:$B$73,"311",Nozzle!$F$1:$F$73,"ESSZ",Nozzle!$H$1:$H$73,"Incoming",Nozzle!$G$1:$G$73,"随机")</f>
        <v>0</v>
      </c>
      <c r="AI13" s="489">
        <f>SUMIFS(Nozzle!$I$1:$I73,Nozzle!$A$1:$A$73,"C49",Nozzle!$B$1:$B$73,"311",Nozzle!$F$1:$F$73,"ESSZ",Nozzle!$H$1:$H$73,"Incoming",Nozzle!$G$1:$G$73,"additional")</f>
        <v>0</v>
      </c>
      <c r="AJ13" s="489">
        <f>SUMIFS(Nozzle!$I$1:$I73,Nozzle!$A$1:$A$73,"C49",Nozzle!$B$1:$B$73,"311",Nozzle!$F$1:$F$73,"ESSZ",Nozzle!$H$1:$H$73,"TBA",Nozzle!$G$1:$G$73,"随机")</f>
        <v>0</v>
      </c>
      <c r="AK13" s="489">
        <f>SUMIFS(Nozzle!$I$1:$I73,Nozzle!$A$1:$A$73,"C49",Nozzle!$B$1:$B$73,"311",Nozzle!$F$1:$F$73,"ESSZ",Nozzle!$H$1:$H$73,"TBA",Nozzle!$G$1:$G$73,"additional")</f>
        <v>0</v>
      </c>
      <c r="AL13" s="490">
        <f>SUMIFS(Nozzle!$P$74:$P$146,Nozzle!$A$74:$A$146,"C49",Nozzle!$B$74:$B$146,"311",Nozzle!$F$74:$F$146,"ESSZ")</f>
        <v>0</v>
      </c>
      <c r="AM13" s="491"/>
      <c r="AN13" s="492">
        <f t="shared" si="14"/>
        <v>126</v>
      </c>
    </row>
    <row r="14" spans="1:40" s="48" customFormat="1" ht="17.399999999999999">
      <c r="A14" s="474">
        <v>312</v>
      </c>
      <c r="B14" s="493">
        <f t="shared" si="2"/>
        <v>67</v>
      </c>
      <c r="C14" s="493">
        <f t="shared" si="3"/>
        <v>0</v>
      </c>
      <c r="D14" s="493">
        <f t="shared" si="4"/>
        <v>67</v>
      </c>
      <c r="E14" s="488">
        <f>SUMIFS(Nozzle!$I$1:$I73,Nozzle!$A$1:$A$73,"C49",Nozzle!$B$1:$B$73,"312",Nozzle!$F$1:$F$73,"ESEL",Nozzle!$H$1:$H$73,"STK",Nozzle!$G$1:$G$73,"随机")</f>
        <v>0</v>
      </c>
      <c r="F14" s="488">
        <f>SUMIFS(Nozzle!$I$1:$I73,Nozzle!$A$1:$A$73,"C49",Nozzle!$B$1:$B$73,"312",Nozzle!$F$1:$F$73,"ESEL",Nozzle!$H$1:$H$73,"STK",Nozzle!$G$1:$G$73,"additional")</f>
        <v>173</v>
      </c>
      <c r="G14" s="488">
        <f>SUMIFS(Nozzle!$O$74:$O$146,Nozzle!$A$74:$A$146,"C49",Nozzle!$B$74:$B$146,"312",Nozzle!$F$74:$F$146,"ESEL",Nozzle!$G$74:$G$146,"随机")</f>
        <v>0</v>
      </c>
      <c r="H14" s="488">
        <f>SUMIFS(Nozzle!$O$74:$O$146,Nozzle!$A$74:$A$146,"C49",Nozzle!$B$74:$B$146,"312",Nozzle!$F$74:$F$146,"ESEL",Nozzle!$G$74:$G$146,"additional")</f>
        <v>106</v>
      </c>
      <c r="I14" s="489">
        <f>SUMIFS(Nozzle!$I$1:$I73,Nozzle!$A$1:$A$73,"C49",Nozzle!$B$1:$B$73,"312",Nozzle!$F$1:$F$73,"ESEL",Nozzle!$H$1:$H$73,"Incoming",Nozzle!$G$1:$G$73,"随机")</f>
        <v>0</v>
      </c>
      <c r="J14" s="489">
        <f>SUMIFS(Nozzle!$I$1:$I73,Nozzle!$A$1:$A$73,"C49",Nozzle!$B$1:$B$73,"312",Nozzle!$F$1:$F$73,"ESEL",Nozzle!$H$1:$H$73,"Incoming",Nozzle!$G$1:$G$73,"additional")</f>
        <v>0</v>
      </c>
      <c r="K14" s="489">
        <f>SUMIFS(Nozzle!$I$1:$I73,Nozzle!$A$1:$A$73,"C49",Nozzle!$B$1:$B$73,"312",Nozzle!$F$1:$F$73,"ESEL",Nozzle!$H$1:$H$73,"TBA",Nozzle!$G$1:$G$73,"随机")</f>
        <v>0</v>
      </c>
      <c r="L14" s="489">
        <f>SUMIFS(Nozzle!$I$1:$I73,Nozzle!$A$1:$A$73,"C49",Nozzle!$B$1:$B$73,"312",Nozzle!$F$1:$F$73,"ESEL",Nozzle!$H$1:$H$73,"TBA",Nozzle!$G$1:$G$73,"additional")</f>
        <v>0</v>
      </c>
      <c r="M14" s="490">
        <f>SUMIFS(Nozzle!$P$74:$P$146,Nozzle!$A$74:$A$146,"C49",Nozzle!$B$74:$B$146,"312",Nozzle!$F$74:$F$146,"ESEL")</f>
        <v>0</v>
      </c>
      <c r="N14" s="491"/>
      <c r="O14" s="512">
        <f t="shared" si="15"/>
        <v>67</v>
      </c>
      <c r="P14" s="532">
        <v>312</v>
      </c>
      <c r="Q14" s="530">
        <f t="shared" si="16"/>
        <v>205</v>
      </c>
      <c r="R14" s="530">
        <f t="shared" si="0"/>
        <v>205</v>
      </c>
      <c r="S14" s="525">
        <f t="shared" si="1"/>
        <v>67</v>
      </c>
      <c r="T14" s="525">
        <f t="shared" si="5"/>
        <v>148</v>
      </c>
      <c r="U14" s="525">
        <f t="shared" si="6"/>
        <v>0</v>
      </c>
      <c r="V14" s="525">
        <f t="shared" si="7"/>
        <v>0</v>
      </c>
      <c r="W14" s="529">
        <f t="shared" si="8"/>
        <v>67</v>
      </c>
      <c r="X14" s="529">
        <f t="shared" si="9"/>
        <v>148</v>
      </c>
      <c r="Y14" s="536">
        <f t="shared" si="10"/>
        <v>215</v>
      </c>
      <c r="Z14" s="513">
        <v>312</v>
      </c>
      <c r="AA14" s="493">
        <f t="shared" si="11"/>
        <v>148</v>
      </c>
      <c r="AB14" s="493">
        <f t="shared" si="12"/>
        <v>0</v>
      </c>
      <c r="AC14" s="493">
        <f t="shared" si="13"/>
        <v>148</v>
      </c>
      <c r="AD14" s="488">
        <f>SUMIFS(Nozzle!$I$1:$I73,Nozzle!$A$1:$A$73,"C49",Nozzle!$B$1:$B$73,"312",Nozzle!$F$1:$F$73,"ESSZ",Nozzle!$H$1:$H$73,"STK",Nozzle!$G$1:$G$73,"随机")</f>
        <v>0</v>
      </c>
      <c r="AE14" s="488">
        <f>SUMIFS(Nozzle!$I$1:$I73,Nozzle!$A$1:$A$73,"C49",Nozzle!$B$1:$B$73,"312",Nozzle!$F$1:$F$73,"ESSZ",Nozzle!$H$1:$H$73,"STK",Nozzle!$G$1:$G$73,"additional")</f>
        <v>148</v>
      </c>
      <c r="AF14" s="488">
        <f>SUMIFS(Nozzle!$O$74:$O$146,Nozzle!$A$74:$A$146,"C49",Nozzle!$B$74:$B$146,"312",Nozzle!$F$74:$F$146,"ESSZ",Nozzle!$G$74:$G$146,"随机")</f>
        <v>0</v>
      </c>
      <c r="AG14" s="488">
        <f>SUMIFS(Nozzle!$O$74:$O$146,Nozzle!$A$74:$A$146,"C49",Nozzle!$B$74:$B$146,"312",Nozzle!$F$74:$F$146,"ESSZ",Nozzle!$G$74:$G$146,"additional")</f>
        <v>0</v>
      </c>
      <c r="AH14" s="489">
        <f>SUMIFS(Nozzle!$I$1:$I73,Nozzle!$A$1:$A$73,"C49",Nozzle!$B$1:$B$73,"312",Nozzle!$F$1:$F$73,"ESSZ",Nozzle!$H$1:$H$73,"Incoming",Nozzle!$G$1:$G$73,"随机")</f>
        <v>0</v>
      </c>
      <c r="AI14" s="489">
        <f>SUMIFS(Nozzle!$I$1:$I73,Nozzle!$A$1:$A$73,"C49",Nozzle!$B$1:$B$73,"312",Nozzle!$F$1:$F$73,"ESSZ",Nozzle!$H$1:$H$73,"Incoming",Nozzle!$G$1:$G$73,"additional")</f>
        <v>0</v>
      </c>
      <c r="AJ14" s="489">
        <f>SUMIFS(Nozzle!$I$1:$I73,Nozzle!$A$1:$A$73,"C49",Nozzle!$B$1:$B$73,"312",Nozzle!$F$1:$F$73,"ESSZ",Nozzle!$H$1:$H$73,"TBA",Nozzle!$G$1:$G$73,"随机")</f>
        <v>0</v>
      </c>
      <c r="AK14" s="489">
        <f>SUMIFS(Nozzle!$I$1:$I73,Nozzle!$A$1:$A$73,"C49",Nozzle!$B$1:$B$73,"312",Nozzle!$F$1:$F$73,"ESSZ",Nozzle!$H$1:$H$73,"TBA",Nozzle!$G$1:$G$73,"additional")</f>
        <v>0</v>
      </c>
      <c r="AL14" s="490">
        <f>SUMIFS(Nozzle!$P$74:$P$146,Nozzle!$A$74:$A$146,"C49",Nozzle!$B$74:$B$146,"312",Nozzle!$F$74:$F$146,"ESSZ")</f>
        <v>0</v>
      </c>
      <c r="AM14" s="491"/>
      <c r="AN14" s="492">
        <f t="shared" si="14"/>
        <v>148</v>
      </c>
    </row>
    <row r="15" spans="1:40" s="48" customFormat="1" ht="17.399999999999999">
      <c r="A15" s="474">
        <v>313</v>
      </c>
      <c r="B15" s="493">
        <f t="shared" si="2"/>
        <v>30</v>
      </c>
      <c r="C15" s="493">
        <f t="shared" si="3"/>
        <v>30</v>
      </c>
      <c r="D15" s="493">
        <f t="shared" si="4"/>
        <v>0</v>
      </c>
      <c r="E15" s="488">
        <f>SUMIFS(Nozzle!$I$1:$I73,Nozzle!$A$1:$A$73,"C49",Nozzle!$B$1:$B$73,"313",Nozzle!$F$1:$F$73,"ESEL",Nozzle!$H$1:$H$73,"STK",Nozzle!$G$1:$G$73,"随机")</f>
        <v>30</v>
      </c>
      <c r="F15" s="488">
        <f>SUMIFS(Nozzle!$I$1:$I73,Nozzle!$A$1:$A$73,"C49",Nozzle!$B$1:$B$73,"313",Nozzle!$F$1:$F$73,"ESEL",Nozzle!$H$1:$H$73,"STK",Nozzle!$G$1:$G$73,"additional")</f>
        <v>0</v>
      </c>
      <c r="G15" s="488">
        <f>SUMIFS(Nozzle!$O$74:$O$146,Nozzle!$A$74:$A$146,"C49",Nozzle!$B$74:$B$146,"313",Nozzle!$F$74:$F$146,"ESEL",Nozzle!$G$74:$G$146,"随机")</f>
        <v>0</v>
      </c>
      <c r="H15" s="488">
        <f>SUMIFS(Nozzle!$O$74:$O$146,Nozzle!$A$74:$A$146,"C49",Nozzle!$B$74:$B$146,"313",Nozzle!$F$74:$F$146,"ESEL",Nozzle!$G$74:$G$146,"additional")</f>
        <v>0</v>
      </c>
      <c r="I15" s="489">
        <f>SUMIFS(Nozzle!$I$1:$I73,Nozzle!$A$1:$A$73,"C49",Nozzle!$B$1:$B$73,"313",Nozzle!$F$1:$F$73,"ESEL",Nozzle!$H$1:$H$73,"Incoming",Nozzle!$G$1:$G$73,"随机")</f>
        <v>0</v>
      </c>
      <c r="J15" s="489">
        <f>SUMIFS(Nozzle!$I$1:$I73,Nozzle!$A$1:$A$73,"C49",Nozzle!$B$1:$B$73,"313",Nozzle!$F$1:$F$73,"ESEL",Nozzle!$H$1:$H$73,"Incoming",Nozzle!$G$1:$G$73,"additional")</f>
        <v>0</v>
      </c>
      <c r="K15" s="489">
        <f>SUMIFS(Nozzle!$I$1:$I73,Nozzle!$A$1:$A$73,"C49",Nozzle!$B$1:$B$73,"313",Nozzle!$F$1:$F$73,"ESEL",Nozzle!$H$1:$H$73,"TBA",Nozzle!$G$1:$G$73,"随机")</f>
        <v>0</v>
      </c>
      <c r="L15" s="489">
        <f>SUMIFS(Nozzle!$I$1:$I73,Nozzle!$A$1:$A$73,"C49",Nozzle!$B$1:$B$73,"313",Nozzle!$F$1:$F$73,"ESEL",Nozzle!$H$1:$H$73,"TBA",Nozzle!$G$1:$G$73,"additional")</f>
        <v>0</v>
      </c>
      <c r="M15" s="490">
        <f>SUMIFS(Nozzle!$P$74:$P$146,Nozzle!$A$74:$A$146,"C49",Nozzle!$B$74:$B$146,"313",Nozzle!$F$74:$F$146,"ESEL")</f>
        <v>0</v>
      </c>
      <c r="N15" s="491"/>
      <c r="O15" s="512">
        <f t="shared" si="15"/>
        <v>30</v>
      </c>
      <c r="P15" s="532">
        <v>313</v>
      </c>
      <c r="Q15" s="530">
        <f t="shared" si="16"/>
        <v>176</v>
      </c>
      <c r="R15" s="530">
        <f t="shared" si="0"/>
        <v>146</v>
      </c>
      <c r="S15" s="525">
        <f t="shared" si="1"/>
        <v>0</v>
      </c>
      <c r="T15" s="525">
        <f t="shared" si="5"/>
        <v>151</v>
      </c>
      <c r="U15" s="525">
        <f t="shared" si="6"/>
        <v>30</v>
      </c>
      <c r="V15" s="525">
        <f t="shared" si="7"/>
        <v>0</v>
      </c>
      <c r="W15" s="529">
        <f t="shared" si="8"/>
        <v>30</v>
      </c>
      <c r="X15" s="529">
        <f t="shared" si="9"/>
        <v>151</v>
      </c>
      <c r="Y15" s="536">
        <f t="shared" si="10"/>
        <v>151</v>
      </c>
      <c r="Z15" s="513">
        <v>313</v>
      </c>
      <c r="AA15" s="493">
        <f t="shared" si="11"/>
        <v>151</v>
      </c>
      <c r="AB15" s="493">
        <f t="shared" si="12"/>
        <v>0</v>
      </c>
      <c r="AC15" s="493">
        <f t="shared" si="13"/>
        <v>151</v>
      </c>
      <c r="AD15" s="488">
        <f>SUMIFS(Nozzle!$I$1:$I73,Nozzle!$A$1:$A$73,"C49",Nozzle!$B$1:$B$73,"313",Nozzle!$F$1:$F$73,"ESSZ",Nozzle!$H$1:$H$73,"STK",Nozzle!$G$1:$G$73,"随机")</f>
        <v>0</v>
      </c>
      <c r="AE15" s="488">
        <f>SUMIFS(Nozzle!$I$1:$I73,Nozzle!$A$1:$A$73,"C49",Nozzle!$B$1:$B$73,"313",Nozzle!$F$1:$F$73,"ESSZ",Nozzle!$H$1:$H$73,"STK",Nozzle!$G$1:$G$73,"additional")</f>
        <v>151</v>
      </c>
      <c r="AF15" s="488">
        <f>SUMIFS(Nozzle!$O$74:$O$146,Nozzle!$A$74:$A$146,"C49",Nozzle!$B$74:$B$146,"313",Nozzle!$F$74:$F$146,"ESSZ",Nozzle!$G$74:$G$146,"随机")</f>
        <v>0</v>
      </c>
      <c r="AG15" s="488">
        <f>SUMIFS(Nozzle!$O$74:$O$146,Nozzle!$A$74:$A$146,"C49",Nozzle!$B$74:$B$146,"313",Nozzle!$F$74:$F$146,"ESSZ",Nozzle!$G$74:$G$146,"additional")</f>
        <v>0</v>
      </c>
      <c r="AH15" s="489">
        <f>SUMIFS(Nozzle!$I$1:$I73,Nozzle!$A$1:$A$73,"C49",Nozzle!$B$1:$B$73,"313",Nozzle!$F$1:$F$73,"ESSZ",Nozzle!$H$1:$H$73,"Incoming",Nozzle!$G$1:$G$73,"随机")</f>
        <v>0</v>
      </c>
      <c r="AI15" s="489">
        <f>SUMIFS(Nozzle!$I$1:$I73,Nozzle!$A$1:$A$73,"C49",Nozzle!$B$1:$B$73,"313",Nozzle!$F$1:$F$73,"ESSZ",Nozzle!$H$1:$H$73,"Incoming",Nozzle!$G$1:$G$73,"additional")</f>
        <v>0</v>
      </c>
      <c r="AJ15" s="489">
        <f>SUMIFS(Nozzle!$I$1:$I73,Nozzle!$A$1:$A$73,"C49",Nozzle!$B$1:$B$73,"313",Nozzle!$F$1:$F$73,"ESSZ",Nozzle!$H$1:$H$73,"TBA",Nozzle!$G$1:$G$73,"随机")</f>
        <v>0</v>
      </c>
      <c r="AK15" s="489">
        <f>SUMIFS(Nozzle!$I$1:$I73,Nozzle!$A$1:$A$73,"C49",Nozzle!$B$1:$B$73,"313",Nozzle!$F$1:$F$73,"ESSZ",Nozzle!$H$1:$H$73,"TBA",Nozzle!$G$1:$G$73,"additional")</f>
        <v>0</v>
      </c>
      <c r="AL15" s="490">
        <f>SUMIFS(Nozzle!$P$74:$P$146,Nozzle!$A$74:$A$146,"C49",Nozzle!$B$74:$B$146,"313",Nozzle!$F$74:$F$146,"ESSZ")</f>
        <v>0</v>
      </c>
      <c r="AM15" s="491"/>
      <c r="AN15" s="492">
        <f t="shared" si="14"/>
        <v>151</v>
      </c>
    </row>
    <row r="16" spans="1:40" s="48" customFormat="1" ht="17.399999999999999">
      <c r="A16" s="474">
        <v>7202</v>
      </c>
      <c r="B16" s="493">
        <f t="shared" si="2"/>
        <v>26</v>
      </c>
      <c r="C16" s="493">
        <f t="shared" si="3"/>
        <v>0</v>
      </c>
      <c r="D16" s="493">
        <f t="shared" si="4"/>
        <v>26</v>
      </c>
      <c r="E16" s="488">
        <f>SUMIFS(Nozzle!$I$1:$I73,Nozzle!$A$1:$A$73,"C49",Nozzle!$B$1:$B$73,"7202",Nozzle!$F$1:$F$73,"ESEL",Nozzle!$H$1:$H$73,"STK",Nozzle!$G$1:$G$73,"随机")</f>
        <v>0</v>
      </c>
      <c r="F16" s="488">
        <f>SUMIFS(Nozzle!$I$1:$I73,Nozzle!$A$1:$A$73,"C49",Nozzle!$B$1:$B$73,"7202",Nozzle!$F$1:$F$73,"ESEL",Nozzle!$H$1:$H$73,"STK",Nozzle!$G$1:$G$73,"additional")</f>
        <v>26</v>
      </c>
      <c r="G16" s="488">
        <f>SUMIFS(Nozzle!$O$74:$O$146,Nozzle!$A$74:$A$146,"C49",Nozzle!$B$74:$B$146,"7202",Nozzle!$F$74:$F$146,"ESEL",Nozzle!$G$74:$G$146,"随机")</f>
        <v>0</v>
      </c>
      <c r="H16" s="488">
        <f>SUMIFS(Nozzle!$O$74:$O$146,Nozzle!$A$74:$A$146,"C49",Nozzle!$B$74:$B$146,"7202",Nozzle!$F$74:$F$146,"ESEL",Nozzle!$G$74:$G$146,"additional")</f>
        <v>0</v>
      </c>
      <c r="I16" s="489">
        <f>SUMIFS(Nozzle!$I$1:$I73,Nozzle!$A$1:$A$73,"C49",Nozzle!$B$1:$B$73,"7202",Nozzle!$F$1:$F$73,"ESEL",Nozzle!$H$1:$H$73,"Incoming",Nozzle!$G$1:$G$73,"随机")</f>
        <v>0</v>
      </c>
      <c r="J16" s="489">
        <f>SUMIFS(Nozzle!$I$1:$I73,Nozzle!$A$1:$A$73,"C49",Nozzle!$B$1:$B$73,"7202",Nozzle!$F$1:$F$73,"ESEL",Nozzle!$H$1:$H$73,"Incoming",Nozzle!$G$1:$G$73,"additional")</f>
        <v>0</v>
      </c>
      <c r="K16" s="489">
        <f>SUMIFS(Nozzle!$I$1:$I73,Nozzle!$A$1:$A$73,"C49",Nozzle!$B$1:$B$73,"7202",Nozzle!$F$1:$F$73,"ESEL",Nozzle!$H$1:$H$73,"TBA",Nozzle!$G$1:$G$73,"随机")</f>
        <v>0</v>
      </c>
      <c r="L16" s="489">
        <f>SUMIFS(Nozzle!$I$1:$I73,Nozzle!$A$1:$A$73,"C49",Nozzle!$B$1:$B$73,"7202",Nozzle!$F$1:$F$73,"ESEL",Nozzle!$H$1:$H$73,"TBA",Nozzle!$G$1:$G$73,"additional")</f>
        <v>0</v>
      </c>
      <c r="M16" s="490">
        <f>SUMIFS(Nozzle!$P$74:$P$146,Nozzle!$A$74:$A$146,"C49",Nozzle!$B$74:$B$146,"7202",Nozzle!$F$74:$F$146,"ESEL")</f>
        <v>0</v>
      </c>
      <c r="N16" s="491"/>
      <c r="O16" s="512">
        <f t="shared" si="15"/>
        <v>26</v>
      </c>
      <c r="P16" s="532">
        <v>7202</v>
      </c>
      <c r="Q16" s="530">
        <f t="shared" si="16"/>
        <v>26</v>
      </c>
      <c r="R16" s="530">
        <f t="shared" si="0"/>
        <v>26</v>
      </c>
      <c r="S16" s="525">
        <f t="shared" si="1"/>
        <v>26</v>
      </c>
      <c r="T16" s="525">
        <f t="shared" si="5"/>
        <v>0</v>
      </c>
      <c r="U16" s="525">
        <f t="shared" si="6"/>
        <v>0</v>
      </c>
      <c r="V16" s="525">
        <f t="shared" si="7"/>
        <v>0</v>
      </c>
      <c r="W16" s="529">
        <f t="shared" si="8"/>
        <v>26</v>
      </c>
      <c r="X16" s="529">
        <f t="shared" si="9"/>
        <v>0</v>
      </c>
      <c r="Y16" s="536">
        <f t="shared" si="10"/>
        <v>26</v>
      </c>
      <c r="Z16" s="513">
        <v>7202</v>
      </c>
      <c r="AA16" s="493">
        <f t="shared" si="11"/>
        <v>0</v>
      </c>
      <c r="AB16" s="493">
        <f t="shared" si="12"/>
        <v>0</v>
      </c>
      <c r="AC16" s="493">
        <f t="shared" si="13"/>
        <v>0</v>
      </c>
      <c r="AD16" s="488">
        <f>SUMIFS(Nozzle!$I$1:$I73,Nozzle!$A$1:$A$73,"C49",Nozzle!$B$1:$B$73,"7202",Nozzle!$F$1:$F$73,"ESSZ",Nozzle!$H$1:$H$73,"STK",Nozzle!$G$1:$G$73,"随机")</f>
        <v>0</v>
      </c>
      <c r="AE16" s="488">
        <f>SUMIFS(Nozzle!$I$1:$I73,Nozzle!$A$1:$A$73,"C49",Nozzle!$B$1:$B$73,"7202",Nozzle!$F$1:$F$73,"ESSZ",Nozzle!$H$1:$H$73,"STK",Nozzle!$G$1:$G$73,"additional")</f>
        <v>0</v>
      </c>
      <c r="AF16" s="488">
        <f>SUMIFS(Nozzle!$O$74:$O$146,Nozzle!$A$74:$A$146,"C49",Nozzle!$B$74:$B$146,"7202",Nozzle!$F$74:$F$146,"ESSZ",Nozzle!$G$74:$G$146,"随机")</f>
        <v>0</v>
      </c>
      <c r="AG16" s="488">
        <f>SUMIFS(Nozzle!$O$74:$O$146,Nozzle!$A$74:$A$146,"C49",Nozzle!$B$74:$B$146,"7202",Nozzle!$F$74:$F$146,"ESSZ",Nozzle!$G$74:$G$146,"additional")</f>
        <v>0</v>
      </c>
      <c r="AH16" s="489">
        <f>SUMIFS(Nozzle!$I$1:$I73,Nozzle!$A$1:$A$73,"C49",Nozzle!$B$1:$B$73,"7202",Nozzle!$F$1:$F$73,"ESSZ",Nozzle!$H$1:$H$73,"Incoming",Nozzle!$G$1:$G$73,"随机")</f>
        <v>0</v>
      </c>
      <c r="AI16" s="489">
        <f>SUMIFS(Nozzle!$I$1:$I73,Nozzle!$A$1:$A$73,"C49",Nozzle!$B$1:$B$73,"7202",Nozzle!$F$1:$F$73,"ESSZ",Nozzle!$H$1:$H$73,"Incoming",Nozzle!$G$1:$G$73,"additional")</f>
        <v>0</v>
      </c>
      <c r="AJ16" s="489">
        <f>SUMIFS(Nozzle!$I$1:$I73,Nozzle!$A$1:$A$73,"C49",Nozzle!$B$1:$B$73,"7202",Nozzle!$F$1:$F$73,"ESSZ",Nozzle!$H$1:$H$73,"TBA",Nozzle!$G$1:$G$73,"随机")</f>
        <v>0</v>
      </c>
      <c r="AK16" s="489">
        <f>SUMIFS(Nozzle!$I$1:$I73,Nozzle!$A$1:$A$73,"C49",Nozzle!$B$1:$B$73,"7202",Nozzle!$F$1:$F$73,"ESSZ",Nozzle!$H$1:$H$73,"TBA",Nozzle!$G$1:$G$73,"additional")</f>
        <v>0</v>
      </c>
      <c r="AL16" s="490">
        <f>SUMIFS(Nozzle!$P$74:$P$146,Nozzle!$A$74:$A$146,"C49",Nozzle!$B$74:$B$146,"7202",Nozzle!$F$74:$F$146,"ESSZ")</f>
        <v>0</v>
      </c>
      <c r="AM16" s="491"/>
      <c r="AN16" s="492">
        <f t="shared" si="14"/>
        <v>0</v>
      </c>
    </row>
    <row r="17" spans="1:40" s="48" customFormat="1" ht="17.399999999999999">
      <c r="A17" s="474">
        <v>7203</v>
      </c>
      <c r="B17" s="493">
        <f t="shared" si="2"/>
        <v>5</v>
      </c>
      <c r="C17" s="493">
        <f t="shared" si="3"/>
        <v>0</v>
      </c>
      <c r="D17" s="493">
        <f t="shared" si="4"/>
        <v>5</v>
      </c>
      <c r="E17" s="488">
        <f>SUMIFS(Nozzle!$I$1:$I73,Nozzle!$A$1:$A$73,"C49",Nozzle!$B$1:$B$73,"7203",Nozzle!$F$1:$F$73,"ESEL",Nozzle!$H$1:$H$73,"STK",Nozzle!$G$1:$G$73,"随机")</f>
        <v>0</v>
      </c>
      <c r="F17" s="488">
        <f>SUMIFS(Nozzle!$I$1:$I73,Nozzle!$A$1:$A$73,"C49",Nozzle!$B$1:$B$73,"7203",Nozzle!$F$1:$F$73,"ESEL",Nozzle!$H$1:$H$73,"STK",Nozzle!$G$1:$G$73,"additional")</f>
        <v>5</v>
      </c>
      <c r="G17" s="488">
        <f>SUMIFS(Nozzle!$O$74:$O$146,Nozzle!$A$74:$A$146,"C49",Nozzle!$B$74:$B$146,"7203",Nozzle!$F$74:$F$146,"ESEL",Nozzle!$G$74:$G$146,"随机")</f>
        <v>0</v>
      </c>
      <c r="H17" s="488">
        <f>SUMIFS(Nozzle!$O$74:$O$146,Nozzle!$A$74:$A$146,"C49",Nozzle!$B$74:$B$146,"7203",Nozzle!$F$74:$F$146,"ESEL",Nozzle!$G$74:$G$146,"additional")</f>
        <v>0</v>
      </c>
      <c r="I17" s="489">
        <f>SUMIFS(Nozzle!$I$1:$I73,Nozzle!$A$1:$A$73,"C49",Nozzle!$B$1:$B$73,"7203",Nozzle!$F$1:$F$73,"ESEL",Nozzle!$H$1:$H$73,"Incoming",Nozzle!$G$1:$G$73,"随机")</f>
        <v>0</v>
      </c>
      <c r="J17" s="489">
        <f>SUMIFS(Nozzle!$I$1:$I73,Nozzle!$A$1:$A$73,"C49",Nozzle!$B$1:$B$73,"7203",Nozzle!$F$1:$F$73,"ESEL",Nozzle!$H$1:$H$73,"Incoming",Nozzle!$G$1:$G$73,"additional")</f>
        <v>0</v>
      </c>
      <c r="K17" s="489">
        <f>SUMIFS(Nozzle!$I$1:$I73,Nozzle!$A$1:$A$73,"C49",Nozzle!$B$1:$B$73,"7203",Nozzle!$F$1:$F$73,"ESEL",Nozzle!$H$1:$H$73,"TBA",Nozzle!$G$1:$G$73,"随机")</f>
        <v>0</v>
      </c>
      <c r="L17" s="489">
        <f>SUMIFS(Nozzle!$I$1:$I73,Nozzle!$A$1:$A$73,"C49",Nozzle!$B$1:$B$73,"7203",Nozzle!$F$1:$F$73,"ESEL",Nozzle!$H$1:$H$73,"TBA",Nozzle!$G$1:$G$73,"additional")</f>
        <v>0</v>
      </c>
      <c r="M17" s="490">
        <f>SUMIFS(Nozzle!$P$74:$P$146,Nozzle!$A$74:$A$146,"C49",Nozzle!$B$74:$B$146,"7203",Nozzle!$F$74:$F$146,"ESEL")</f>
        <v>0</v>
      </c>
      <c r="N17" s="491"/>
      <c r="O17" s="512">
        <f t="shared" si="15"/>
        <v>5</v>
      </c>
      <c r="P17" s="532">
        <v>7203</v>
      </c>
      <c r="Q17" s="530">
        <f t="shared" si="16"/>
        <v>5</v>
      </c>
      <c r="R17" s="530">
        <f t="shared" si="0"/>
        <v>5</v>
      </c>
      <c r="S17" s="525">
        <f t="shared" si="1"/>
        <v>5</v>
      </c>
      <c r="T17" s="525">
        <f t="shared" si="5"/>
        <v>0</v>
      </c>
      <c r="U17" s="525">
        <f t="shared" si="6"/>
        <v>0</v>
      </c>
      <c r="V17" s="525">
        <f t="shared" si="7"/>
        <v>0</v>
      </c>
      <c r="W17" s="529">
        <f t="shared" si="8"/>
        <v>5</v>
      </c>
      <c r="X17" s="529">
        <f t="shared" si="9"/>
        <v>0</v>
      </c>
      <c r="Y17" s="536">
        <f t="shared" si="10"/>
        <v>5</v>
      </c>
      <c r="Z17" s="513">
        <v>7203</v>
      </c>
      <c r="AA17" s="493">
        <f t="shared" si="11"/>
        <v>0</v>
      </c>
      <c r="AB17" s="493">
        <f t="shared" si="12"/>
        <v>0</v>
      </c>
      <c r="AC17" s="493">
        <f t="shared" si="13"/>
        <v>0</v>
      </c>
      <c r="AD17" s="488">
        <f>SUMIFS(Nozzle!$I$1:$I73,Nozzle!$A$1:$A$73,"C49",Nozzle!$B$1:$B$73,"7203",Nozzle!$F$1:$F$73,"ESSZ",Nozzle!$H$1:$H$73,"STK",Nozzle!$G$1:$G$73,"随机")</f>
        <v>0</v>
      </c>
      <c r="AE17" s="488">
        <f>SUMIFS(Nozzle!$I$1:$I73,Nozzle!$A$1:$A$73,"C49",Nozzle!$B$1:$B$73,"7203",Nozzle!$F$1:$F$73,"ESSZ",Nozzle!$H$1:$H$73,"STK",Nozzle!$G$1:$G$73,"additional")</f>
        <v>0</v>
      </c>
      <c r="AF17" s="488">
        <f>SUMIFS(Nozzle!$O$74:$O$146,Nozzle!$A$74:$A$146,"C49",Nozzle!$B$74:$B$146,"7203",Nozzle!$F$74:$F$146,"ESSZ",Nozzle!$G$74:$G$146,"随机")</f>
        <v>0</v>
      </c>
      <c r="AG17" s="488">
        <f>SUMIFS(Nozzle!$O$74:$O$146,Nozzle!$A$74:$A$146,"C49",Nozzle!$B$74:$B$146,"7203",Nozzle!$F$74:$F$146,"ESSZ",Nozzle!$G$74:$G$146,"additional")</f>
        <v>0</v>
      </c>
      <c r="AH17" s="489">
        <f>SUMIFS(Nozzle!$I$1:$I73,Nozzle!$A$1:$A$73,"C49",Nozzle!$B$1:$B$73,"7203",Nozzle!$F$1:$F$73,"ESSZ",Nozzle!$H$1:$H$73,"Incoming",Nozzle!$G$1:$G$73,"随机")</f>
        <v>0</v>
      </c>
      <c r="AI17" s="489">
        <f>SUMIFS(Nozzle!$I$1:$I73,Nozzle!$A$1:$A$73,"C49",Nozzle!$B$1:$B$73,"7203",Nozzle!$F$1:$F$73,"ESSZ",Nozzle!$H$1:$H$73,"Incoming",Nozzle!$G$1:$G$73,"additional")</f>
        <v>0</v>
      </c>
      <c r="AJ17" s="489">
        <f>SUMIFS(Nozzle!$I$1:$I73,Nozzle!$A$1:$A$73,"C49",Nozzle!$B$1:$B$73,"7203",Nozzle!$F$1:$F$73,"ESSZ",Nozzle!$H$1:$H$73,"TBA",Nozzle!$G$1:$G$73,"随机")</f>
        <v>0</v>
      </c>
      <c r="AK17" s="489">
        <f>SUMIFS(Nozzle!$I$1:$I73,Nozzle!$A$1:$A$73,"C49",Nozzle!$B$1:$B$73,"7203",Nozzle!$F$1:$F$73,"ESSZ",Nozzle!$H$1:$H$73,"TBA",Nozzle!$G$1:$G$73,"additional")</f>
        <v>0</v>
      </c>
      <c r="AL17" s="490">
        <f>SUMIFS(Nozzle!$P$74:$P$146,Nozzle!$A$74:$A$146,"C49",Nozzle!$B$74:$B$146,"7203",Nozzle!$F$74:$F$146,"ESSZ")</f>
        <v>0</v>
      </c>
      <c r="AM17" s="491"/>
      <c r="AN17" s="492">
        <f t="shared" si="14"/>
        <v>0</v>
      </c>
    </row>
    <row r="18" spans="1:40" s="48" customFormat="1" ht="17.399999999999999">
      <c r="A18" s="474">
        <v>7204</v>
      </c>
      <c r="B18" s="493">
        <f t="shared" si="2"/>
        <v>6</v>
      </c>
      <c r="C18" s="493">
        <f t="shared" si="3"/>
        <v>0</v>
      </c>
      <c r="D18" s="493">
        <f t="shared" si="4"/>
        <v>6</v>
      </c>
      <c r="E18" s="488">
        <f>SUMIFS(Nozzle!$I$1:$I73,Nozzle!$A$1:$A$73,"C49",Nozzle!$B$1:$B$73,"7204",Nozzle!$F$1:$F$73,"ESEL",Nozzle!$H$1:$H$73,"STK",Nozzle!$G$1:$G$73,"随机")</f>
        <v>0</v>
      </c>
      <c r="F18" s="488">
        <f>SUMIFS(Nozzle!$I$1:$I73,Nozzle!$A$1:$A$73,"C49",Nozzle!$B$1:$B$73,"7204",Nozzle!$F$1:$F$73,"ESEL",Nozzle!$H$1:$H$73,"STK",Nozzle!$G$1:$G$73,"additional")</f>
        <v>6</v>
      </c>
      <c r="G18" s="488">
        <f>SUMIFS(Nozzle!$O$74:$O$146,Nozzle!$A$74:$A$146,"C49",Nozzle!$B$74:$B$146,"7204",Nozzle!$F$74:$F$146,"ESEL",Nozzle!$G$74:$G$146,"随机")</f>
        <v>0</v>
      </c>
      <c r="H18" s="488">
        <f>SUMIFS(Nozzle!$O$74:$O$146,Nozzle!$A$74:$A$146,"C49",Nozzle!$B$74:$B$146,"7204",Nozzle!$F$74:$F$146,"ESEL",Nozzle!$G$74:$G$146,"additional")</f>
        <v>0</v>
      </c>
      <c r="I18" s="489">
        <f>SUMIFS(Nozzle!$I$1:$I73,Nozzle!$A$1:$A$73,"C49",Nozzle!$B$1:$B$73,"7204",Nozzle!$F$1:$F$73,"ESEL",Nozzle!$H$1:$H$73,"Incoming",Nozzle!$G$1:$G$73,"随机")</f>
        <v>0</v>
      </c>
      <c r="J18" s="489">
        <f>SUMIFS(Nozzle!$I$1:$I73,Nozzle!$A$1:$A$73,"C49",Nozzle!$B$1:$B$73,"7204",Nozzle!$F$1:$F$73,"ESEL",Nozzle!$H$1:$H$73,"Incoming",Nozzle!$G$1:$G$73,"additional")</f>
        <v>0</v>
      </c>
      <c r="K18" s="489">
        <f>SUMIFS(Nozzle!$I$1:$I73,Nozzle!$A$1:$A$73,"C49",Nozzle!$B$1:$B$73,"7204",Nozzle!$F$1:$F$73,"ESEL",Nozzle!$H$1:$H$73,"TBA",Nozzle!$G$1:$G$73,"随机")</f>
        <v>0</v>
      </c>
      <c r="L18" s="489">
        <f>SUMIFS(Nozzle!$I$1:$I73,Nozzle!$A$1:$A$73,"C49",Nozzle!$B$1:$B$73,"7204",Nozzle!$F$1:$F$73,"ESEL",Nozzle!$H$1:$H$73,"TBA",Nozzle!$G$1:$G$73,"additional")</f>
        <v>0</v>
      </c>
      <c r="M18" s="490">
        <f>SUMIFS(Nozzle!$P$74:$P$146,Nozzle!$A$74:$A$146,"C49",Nozzle!$B$74:$B$146,"7204",Nozzle!$F$74:$F$146,"ESEL")</f>
        <v>0</v>
      </c>
      <c r="N18" s="491"/>
      <c r="O18" s="512">
        <f t="shared" si="15"/>
        <v>6</v>
      </c>
      <c r="P18" s="532">
        <v>7204</v>
      </c>
      <c r="Q18" s="530">
        <f t="shared" si="16"/>
        <v>6</v>
      </c>
      <c r="R18" s="531">
        <f t="shared" si="0"/>
        <v>6</v>
      </c>
      <c r="S18" s="525">
        <f t="shared" si="1"/>
        <v>6</v>
      </c>
      <c r="T18" s="525">
        <f t="shared" si="5"/>
        <v>0</v>
      </c>
      <c r="U18" s="525">
        <f t="shared" si="6"/>
        <v>0</v>
      </c>
      <c r="V18" s="525">
        <f t="shared" si="7"/>
        <v>0</v>
      </c>
      <c r="W18" s="529">
        <f t="shared" si="8"/>
        <v>6</v>
      </c>
      <c r="X18" s="529">
        <f t="shared" si="9"/>
        <v>0</v>
      </c>
      <c r="Y18" s="536">
        <f t="shared" si="10"/>
        <v>6</v>
      </c>
      <c r="Z18" s="513">
        <v>7204</v>
      </c>
      <c r="AA18" s="493">
        <f t="shared" si="11"/>
        <v>0</v>
      </c>
      <c r="AB18" s="493">
        <f t="shared" si="12"/>
        <v>0</v>
      </c>
      <c r="AC18" s="493">
        <f t="shared" si="13"/>
        <v>0</v>
      </c>
      <c r="AD18" s="488">
        <f>SUMIFS(Nozzle!$I$1:$I73,Nozzle!$A$1:$A$73,"C49",Nozzle!$B$1:$B$73,"7204",Nozzle!$F$1:$F$73,"ESSZ",Nozzle!$H$1:$H$73,"STK",Nozzle!$G$1:$G$73,"随机")</f>
        <v>0</v>
      </c>
      <c r="AE18" s="488">
        <f>SUMIFS(Nozzle!$I$1:$I73,Nozzle!$A$1:$A$73,"C49",Nozzle!$B$1:$B$73,"7204",Nozzle!$F$1:$F$73,"ESSZ",Nozzle!$H$1:$H$73,"STK",Nozzle!$G$1:$G$73,"additional")</f>
        <v>0</v>
      </c>
      <c r="AF18" s="488">
        <f>SUMIFS(Nozzle!$O$74:$O$146,Nozzle!$A$74:$A$146,"C49",Nozzle!$B$74:$B$146,"7204",Nozzle!$F$74:$F$146,"ESSZ",Nozzle!$G$74:$G$146,"随机")</f>
        <v>0</v>
      </c>
      <c r="AG18" s="488">
        <f>SUMIFS(Nozzle!$O$74:$O$146,Nozzle!$A$74:$A$146,"C49",Nozzle!$B$74:$B$146,"7204",Nozzle!$F$74:$F$146,"ESSZ",Nozzle!$G$74:$G$146,"additional")</f>
        <v>0</v>
      </c>
      <c r="AH18" s="489">
        <f>SUMIFS(Nozzle!$I$1:$I73,Nozzle!$A$1:$A$73,"C49",Nozzle!$B$1:$B$73,"7204",Nozzle!$F$1:$F$73,"ESSZ",Nozzle!$H$1:$H$73,"Incoming",Nozzle!$G$1:$G$73,"随机")</f>
        <v>0</v>
      </c>
      <c r="AI18" s="489">
        <f>SUMIFS(Nozzle!$I$1:$I73,Nozzle!$A$1:$A$73,"C49",Nozzle!$B$1:$B$73,"7204",Nozzle!$F$1:$F$73,"ESSZ",Nozzle!$H$1:$H$73,"Incoming",Nozzle!$G$1:$G$73,"additional")</f>
        <v>0</v>
      </c>
      <c r="AJ18" s="489">
        <f>SUMIFS(Nozzle!$I$1:$I73,Nozzle!$A$1:$A$73,"C49",Nozzle!$B$1:$B$73,"7204",Nozzle!$F$1:$F$73,"ESSZ",Nozzle!$H$1:$H$73,"TBA",Nozzle!$G$1:$G$73,"随机")</f>
        <v>0</v>
      </c>
      <c r="AK18" s="489">
        <f>SUMIFS(Nozzle!$I$1:$I73,Nozzle!$A$1:$A$73,"C49",Nozzle!$B$1:$B$73,"7204",Nozzle!$F$1:$F$73,"ESSZ",Nozzle!$H$1:$H$73,"TBA",Nozzle!$G$1:$G$73,"additional")</f>
        <v>0</v>
      </c>
      <c r="AL18" s="490">
        <f>SUMIFS(Nozzle!$P$74:$P$146,Nozzle!$A$74:$A$146,"C49",Nozzle!$B$74:$B$146,"7204",Nozzle!$F$74:$F$146,"ESSZ")</f>
        <v>0</v>
      </c>
      <c r="AM18" s="491"/>
      <c r="AN18" s="492">
        <f t="shared" si="14"/>
        <v>0</v>
      </c>
    </row>
    <row r="19" spans="1:40" ht="17.399999999999999">
      <c r="A19" s="474">
        <v>7205</v>
      </c>
      <c r="B19" s="493">
        <f t="shared" si="2"/>
        <v>54</v>
      </c>
      <c r="C19" s="493">
        <f t="shared" si="3"/>
        <v>0</v>
      </c>
      <c r="D19" s="493">
        <f t="shared" si="4"/>
        <v>54</v>
      </c>
      <c r="E19" s="488">
        <f>SUMIFS(Nozzle!$I$1:$I73,Nozzle!$A$1:$A$73,"C49",Nozzle!$B$1:$B$73,"7205",Nozzle!$F$1:$F$73,"ESEL",Nozzle!$H$1:$H$73,"STK",Nozzle!$G$1:$G$73,"随机")</f>
        <v>0</v>
      </c>
      <c r="F19" s="488">
        <f>SUMIFS(Nozzle!$I$1:$I73,Nozzle!$A$1:$A$73,"C49",Nozzle!$B$1:$B$73,"7205",Nozzle!$F$1:$F$73,"ESEL",Nozzle!$H$1:$H$73,"STK",Nozzle!$G$1:$G$73,"additional")</f>
        <v>54</v>
      </c>
      <c r="G19" s="488">
        <f>SUMIFS(Nozzle!$O$74:$O$146,Nozzle!$A$74:$A$146,"C49",Nozzle!$B$74:$B$146,"7205",Nozzle!$F$74:$F$146,"ESEL",Nozzle!$G$74:$G$146,"随机")</f>
        <v>0</v>
      </c>
      <c r="H19" s="488">
        <f>SUMIFS(Nozzle!$O$74:$O$146,Nozzle!$A$74:$A$146,"C49",Nozzle!$B$74:$B$146,"7205",Nozzle!$F$74:$F$146,"ESEL",Nozzle!$G$74:$G$146,"additional")</f>
        <v>0</v>
      </c>
      <c r="I19" s="489">
        <f>SUMIFS(Nozzle!$I$1:$I73,Nozzle!$A$1:$A$73,"C49",Nozzle!$B$1:$B$73,"7205",Nozzle!$F$1:$F$73,"ESEL",Nozzle!$H$1:$H$73,"Incoming",Nozzle!$G$1:$G$73,"随机")</f>
        <v>0</v>
      </c>
      <c r="J19" s="489">
        <f>SUMIFS(Nozzle!$I$1:$I73,Nozzle!$A$1:$A$73,"C49",Nozzle!$B$1:$B$73,"7205",Nozzle!$F$1:$F$73,"ESEL",Nozzle!$H$1:$H$73,"Incoming",Nozzle!$G$1:$G$73,"additional")</f>
        <v>0</v>
      </c>
      <c r="K19" s="489">
        <f>SUMIFS(Nozzle!$I$1:$I73,Nozzle!$A$1:$A$73,"C49",Nozzle!$B$1:$B$73,"7205",Nozzle!$F$1:$F$73,"ESEL",Nozzle!$H$1:$H$73,"TBA",Nozzle!$G$1:$G$73,"随机")</f>
        <v>0</v>
      </c>
      <c r="L19" s="489">
        <f>SUMIFS(Nozzle!$I$1:$I73,Nozzle!$A$1:$A$73,"C49",Nozzle!$B$1:$B$73,"7205",Nozzle!$F$1:$F$73,"ESEL",Nozzle!$H$1:$H$73,"TBA",Nozzle!$G$1:$G$73,"additional")</f>
        <v>0</v>
      </c>
      <c r="M19" s="490">
        <f>SUMIFS(Nozzle!$P$74:$P$146,Nozzle!$A$74:$A$146,"C49",Nozzle!$B$74:$B$146,"7205",Nozzle!$F$74:$F$146,"ESEL")</f>
        <v>0</v>
      </c>
      <c r="N19" s="491"/>
      <c r="O19" s="512">
        <f t="shared" si="15"/>
        <v>54</v>
      </c>
      <c r="P19" s="532">
        <v>7205</v>
      </c>
      <c r="Q19" s="530">
        <f t="shared" si="16"/>
        <v>54</v>
      </c>
      <c r="R19" s="530">
        <f t="shared" si="0"/>
        <v>54</v>
      </c>
      <c r="S19" s="525">
        <f t="shared" si="1"/>
        <v>54</v>
      </c>
      <c r="T19" s="525">
        <f t="shared" si="5"/>
        <v>0</v>
      </c>
      <c r="U19" s="525">
        <f t="shared" si="6"/>
        <v>0</v>
      </c>
      <c r="V19" s="525">
        <f t="shared" si="7"/>
        <v>0</v>
      </c>
      <c r="W19" s="529">
        <f t="shared" si="8"/>
        <v>54</v>
      </c>
      <c r="X19" s="529">
        <f t="shared" si="9"/>
        <v>0</v>
      </c>
      <c r="Y19" s="536">
        <f t="shared" si="10"/>
        <v>54</v>
      </c>
      <c r="Z19" s="513">
        <v>7205</v>
      </c>
      <c r="AA19" s="493">
        <f t="shared" si="11"/>
        <v>0</v>
      </c>
      <c r="AB19" s="493">
        <f t="shared" si="12"/>
        <v>0</v>
      </c>
      <c r="AC19" s="493">
        <f t="shared" si="13"/>
        <v>0</v>
      </c>
      <c r="AD19" s="488">
        <f>SUMIFS(Nozzle!$I$1:$I73,Nozzle!$A$1:$A$73,"C49",Nozzle!$B$1:$B$73,"7205",Nozzle!$F$1:$F$73,"ESSZ",Nozzle!$H$1:$H$73,"STK",Nozzle!$G$1:$G$73,"随机")</f>
        <v>0</v>
      </c>
      <c r="AE19" s="488">
        <f>SUMIFS(Nozzle!$I$1:$I73,Nozzle!$A$1:$A$73,"C49",Nozzle!$B$1:$B$73,"7205",Nozzle!$F$1:$F$73,"ESSZ",Nozzle!$H$1:$H$73,"STK",Nozzle!$G$1:$G$73,"additional")</f>
        <v>0</v>
      </c>
      <c r="AF19" s="488">
        <f>SUMIFS(Nozzle!$O$74:$O$146,Nozzle!$A$74:$A$146,"C49",Nozzle!$B$74:$B$146,"7205",Nozzle!$F$74:$F$146,"ESSZ",Nozzle!$G$74:$G$146,"随机")</f>
        <v>0</v>
      </c>
      <c r="AG19" s="488">
        <f>SUMIFS(Nozzle!$O$74:$O$146,Nozzle!$A$74:$A$146,"C49",Nozzle!$B$74:$B$146,"7205",Nozzle!$F$74:$F$146,"ESSZ",Nozzle!$G$74:$G$146,"additional")</f>
        <v>0</v>
      </c>
      <c r="AH19" s="489">
        <f>SUMIFS(Nozzle!$I$1:$I73,Nozzle!$A$1:$A$73,"C49",Nozzle!$B$1:$B$73,"7205",Nozzle!$F$1:$F$73,"ESSZ",Nozzle!$H$1:$H$73,"Incoming",Nozzle!$G$1:$G$73,"随机")</f>
        <v>0</v>
      </c>
      <c r="AI19" s="489">
        <f>SUMIFS(Nozzle!$I$1:$I73,Nozzle!$A$1:$A$73,"C49",Nozzle!$B$1:$B$73,"7205",Nozzle!$F$1:$F$73,"ESSZ",Nozzle!$H$1:$H$73,"Incoming",Nozzle!$G$1:$G$73,"additional")</f>
        <v>0</v>
      </c>
      <c r="AJ19" s="489">
        <f>SUMIFS(Nozzle!$I$1:$I73,Nozzle!$A$1:$A$73,"C49",Nozzle!$B$1:$B$73,"7205",Nozzle!$F$1:$F$73,"ESSZ",Nozzle!$H$1:$H$73,"TBA",Nozzle!$G$1:$G$73,"随机")</f>
        <v>0</v>
      </c>
      <c r="AK19" s="489">
        <f>SUMIFS(Nozzle!$I$1:$I73,Nozzle!$A$1:$A$73,"C49",Nozzle!$B$1:$B$73,"7205",Nozzle!$F$1:$F$73,"ESSZ",Nozzle!$H$1:$H$73,"TBA",Nozzle!$G$1:$G$73,"additional")</f>
        <v>0</v>
      </c>
      <c r="AL19" s="490">
        <f>SUMIFS(Nozzle!$P$74:$P$146,Nozzle!$A$74:$A$146,"C49",Nozzle!$B$74:$B$146,"7205",Nozzle!$F$74:$F$146,"ESSZ")</f>
        <v>0</v>
      </c>
      <c r="AM19" s="491"/>
      <c r="AN19" s="492">
        <f t="shared" si="14"/>
        <v>0</v>
      </c>
    </row>
    <row r="20" spans="1:40" ht="17.399999999999999">
      <c r="A20" s="474">
        <v>7206</v>
      </c>
      <c r="B20" s="493">
        <f t="shared" si="2"/>
        <v>226</v>
      </c>
      <c r="C20" s="493">
        <f t="shared" si="3"/>
        <v>0</v>
      </c>
      <c r="D20" s="493">
        <f t="shared" si="4"/>
        <v>226</v>
      </c>
      <c r="E20" s="488">
        <f>SUMIFS(Nozzle!$I$1:$I73,Nozzle!$A$1:$A$73,"C49",Nozzle!$B$1:$B$73,"7206",Nozzle!$F$1:$F$73,"ESEL",Nozzle!$H$1:$H$73,"STK",Nozzle!$G$1:$G$73,"随机")</f>
        <v>0</v>
      </c>
      <c r="F20" s="488">
        <f>SUMIFS(Nozzle!$I$1:$I73,Nozzle!$A$1:$A$73,"C49",Nozzle!$B$1:$B$73,"7206",Nozzle!$F$1:$F$73,"ESEL",Nozzle!$H$1:$H$73,"STK",Nozzle!$G$1:$G$73,"additional")</f>
        <v>226</v>
      </c>
      <c r="G20" s="488">
        <f>SUMIFS(Nozzle!$O$74:$O$146,Nozzle!$A$74:$A$146,"C49",Nozzle!$B$74:$B$146,"7206",Nozzle!$F$74:$F$146,"ESEL",Nozzle!$G$74:$G$146,"随机")</f>
        <v>0</v>
      </c>
      <c r="H20" s="488">
        <f>SUMIFS(Nozzle!$O$74:$O$146,Nozzle!$A$74:$A$146,"C49",Nozzle!$B$74:$B$146,"7206",Nozzle!$F$74:$F$146,"ESEL",Nozzle!$G$74:$G$146,"additional")</f>
        <v>0</v>
      </c>
      <c r="I20" s="489">
        <f>SUMIFS(Nozzle!$I$1:$I73,Nozzle!$A$1:$A$73,"C49",Nozzle!$B$1:$B$73,"7206",Nozzle!$F$1:$F$73,"ESEL",Nozzle!$H$1:$H$73,"Incoming",Nozzle!$G$1:$G$73,"随机")</f>
        <v>0</v>
      </c>
      <c r="J20" s="489">
        <f>SUMIFS(Nozzle!$I$1:$I73,Nozzle!$A$1:$A$73,"C49",Nozzle!$B$1:$B$73,"7206",Nozzle!$F$1:$F$73,"ESEL",Nozzle!$H$1:$H$73,"Incoming",Nozzle!$G$1:$G$73,"additional")</f>
        <v>0</v>
      </c>
      <c r="K20" s="489">
        <f>SUMIFS(Nozzle!$I$1:$I73,Nozzle!$A$1:$A$73,"C49",Nozzle!$B$1:$B$73,"7206",Nozzle!$F$1:$F$73,"ESEL",Nozzle!$H$1:$H$73,"TBA",Nozzle!$G$1:$G$73,"随机")</f>
        <v>0</v>
      </c>
      <c r="L20" s="489">
        <f>SUMIFS(Nozzle!$I$1:$I73,Nozzle!$A$1:$A$73,"C49",Nozzle!$B$1:$B$73,"7206",Nozzle!$F$1:$F$73,"ESEL",Nozzle!$H$1:$H$73,"TBA",Nozzle!$G$1:$G$73,"additional")</f>
        <v>0</v>
      </c>
      <c r="M20" s="490">
        <f>SUMIFS(Nozzle!$P$74:$P$146,Nozzle!$A$74:$A$146,"C49",Nozzle!$B$74:$B$146,"7206",Nozzle!$F$74:$F$146,"ESEL")</f>
        <v>0</v>
      </c>
      <c r="N20" s="491"/>
      <c r="O20" s="512">
        <f t="shared" si="15"/>
        <v>226</v>
      </c>
      <c r="P20" s="532">
        <v>7206</v>
      </c>
      <c r="Q20" s="530">
        <f t="shared" si="16"/>
        <v>226</v>
      </c>
      <c r="R20" s="530">
        <f t="shared" si="0"/>
        <v>226</v>
      </c>
      <c r="S20" s="525">
        <f t="shared" si="1"/>
        <v>226</v>
      </c>
      <c r="T20" s="525">
        <f t="shared" si="5"/>
        <v>0</v>
      </c>
      <c r="U20" s="525">
        <f t="shared" si="6"/>
        <v>0</v>
      </c>
      <c r="V20" s="525">
        <f t="shared" si="7"/>
        <v>0</v>
      </c>
      <c r="W20" s="529">
        <f t="shared" si="8"/>
        <v>226</v>
      </c>
      <c r="X20" s="529">
        <f t="shared" si="9"/>
        <v>0</v>
      </c>
      <c r="Y20" s="536">
        <f t="shared" si="10"/>
        <v>226</v>
      </c>
      <c r="Z20" s="513">
        <v>7206</v>
      </c>
      <c r="AA20" s="493">
        <f t="shared" si="11"/>
        <v>0</v>
      </c>
      <c r="AB20" s="493">
        <f t="shared" si="12"/>
        <v>0</v>
      </c>
      <c r="AC20" s="493">
        <f t="shared" si="13"/>
        <v>0</v>
      </c>
      <c r="AD20" s="488">
        <f>SUMIFS(Nozzle!$I$1:$I73,Nozzle!$A$1:$A$73,"C49",Nozzle!$B$1:$B$73,"7206",Nozzle!$F$1:$F$73,"ESSZ",Nozzle!$H$1:$H$73,"STK",Nozzle!$G$1:$G$73,"随机")</f>
        <v>0</v>
      </c>
      <c r="AE20" s="488">
        <f>SUMIFS(Nozzle!$I$1:$I73,Nozzle!$A$1:$A$73,"C49",Nozzle!$B$1:$B$73,"7206",Nozzle!$F$1:$F$73,"ESSZ",Nozzle!$H$1:$H$73,"STK",Nozzle!$G$1:$G$73,"additional")</f>
        <v>0</v>
      </c>
      <c r="AF20" s="488">
        <f>SUMIFS(Nozzle!$O$74:$O$146,Nozzle!$A$74:$A$146,"C49",Nozzle!$B$74:$B$146,"7206",Nozzle!$F$74:$F$146,"ESSZ",Nozzle!$G$74:$G$146,"随机")</f>
        <v>0</v>
      </c>
      <c r="AG20" s="488">
        <f>SUMIFS(Nozzle!$O$74:$O$146,Nozzle!$A$74:$A$146,"C49",Nozzle!$B$74:$B$146,"7206",Nozzle!$F$74:$F$146,"ESSZ",Nozzle!$G$74:$G$146,"additional")</f>
        <v>0</v>
      </c>
      <c r="AH20" s="489">
        <f>SUMIFS(Nozzle!$I$1:$I73,Nozzle!$A$1:$A$73,"C49",Nozzle!$B$1:$B$73,"7206",Nozzle!$F$1:$F$73,"ESSZ",Nozzle!$H$1:$H$73,"Incoming",Nozzle!$G$1:$G$73,"随机")</f>
        <v>0</v>
      </c>
      <c r="AI20" s="489">
        <f>SUMIFS(Nozzle!$I$1:$I73,Nozzle!$A$1:$A$73,"C49",Nozzle!$B$1:$B$73,"7206",Nozzle!$F$1:$F$73,"ESSZ",Nozzle!$H$1:$H$73,"Incoming",Nozzle!$G$1:$G$73,"additional")</f>
        <v>0</v>
      </c>
      <c r="AJ20" s="489">
        <f>SUMIFS(Nozzle!$I$1:$I73,Nozzle!$A$1:$A$73,"C49",Nozzle!$B$1:$B$73,"7206",Nozzle!$F$1:$F$73,"ESSZ",Nozzle!$H$1:$H$73,"TBA",Nozzle!$G$1:$G$73,"随机")</f>
        <v>0</v>
      </c>
      <c r="AK20" s="489">
        <f>SUMIFS(Nozzle!$I$1:$I73,Nozzle!$A$1:$A$73,"C49",Nozzle!$B$1:$B$73,"7206",Nozzle!$F$1:$F$73,"ESSZ",Nozzle!$H$1:$H$73,"TBA",Nozzle!$G$1:$G$73,"additional")</f>
        <v>0</v>
      </c>
      <c r="AL20" s="490">
        <f>SUMIFS(Nozzle!$P$74:$P$146,Nozzle!$A$74:$A$146,"C49",Nozzle!$B$74:$B$146,"7206",Nozzle!$F$74:$F$146,"ESSZ")</f>
        <v>0</v>
      </c>
      <c r="AM20" s="491"/>
      <c r="AN20" s="492">
        <f t="shared" si="14"/>
        <v>0</v>
      </c>
    </row>
    <row r="21" spans="1:40" s="48" customFormat="1" ht="17.399999999999999">
      <c r="A21" s="474" t="s">
        <v>1498</v>
      </c>
      <c r="B21" s="493">
        <f t="shared" si="2"/>
        <v>144</v>
      </c>
      <c r="C21" s="493">
        <f t="shared" si="3"/>
        <v>0</v>
      </c>
      <c r="D21" s="493">
        <f t="shared" si="4"/>
        <v>144</v>
      </c>
      <c r="E21" s="488">
        <f>SUMIFS(Nozzle!$I$1:$I73,Nozzle!$A$1:$A$73,"C49",Nozzle!$B$1:$B$73,"72GC",Nozzle!$F$1:$F$73,"ESEL",Nozzle!$H$1:$H$73,"STK",Nozzle!$G$1:$G$73,"随机")</f>
        <v>0</v>
      </c>
      <c r="F21" s="488">
        <f>SUMIFS(Nozzle!$I$1:$I73,Nozzle!$A$1:$A$73,"C49",Nozzle!$B$1:$B$73,"72GC",Nozzle!$F$1:$F$73,"ESEL",Nozzle!$H$1:$H$73,"STK",Nozzle!$G$1:$G$73,"additional")</f>
        <v>144</v>
      </c>
      <c r="G21" s="488">
        <f>SUMIFS(Nozzle!$O$74:$O$146,Nozzle!$A$74:$A$146,"C49",Nozzle!$B$74:$B$146,"72GC",Nozzle!$F$74:$F$146,"ESEL",Nozzle!$G$74:$G$146,"随机")</f>
        <v>0</v>
      </c>
      <c r="H21" s="488">
        <f>SUMIFS(Nozzle!$O$74:$O$146,Nozzle!$A$74:$A$146,"C49",Nozzle!$B$74:$B$146,"72GC",Nozzle!$F$74:$F$146,"ESEL",Nozzle!$G$74:$G$146,"additional")</f>
        <v>0</v>
      </c>
      <c r="I21" s="489">
        <f>SUMIFS(Nozzle!$I$1:$I73,Nozzle!$A$1:$A$73,"C49",Nozzle!$B$1:$B$73,"72GC",Nozzle!$F$1:$F$73,"ESEL",Nozzle!$H$1:$H$73,"Incoming",Nozzle!$G$1:$G$73,"随机")</f>
        <v>0</v>
      </c>
      <c r="J21" s="489">
        <f>SUMIFS(Nozzle!$I$1:$I73,Nozzle!$A$1:$A$73,"C49",Nozzle!$B$1:$B$73,"72GC",Nozzle!$F$1:$F$73,"ESEL",Nozzle!$H$1:$H$73,"Incoming",Nozzle!$G$1:$G$73,"additional")</f>
        <v>0</v>
      </c>
      <c r="K21" s="489">
        <f>SUMIFS(Nozzle!$I$1:$I73,Nozzle!$A$1:$A$73,"C49",Nozzle!$B$1:$B$73,"72GC",Nozzle!$F$1:$F$73,"ESEL",Nozzle!$H$1:$H$73,"TBA",Nozzle!$G$1:$G$73,"随机")</f>
        <v>0</v>
      </c>
      <c r="L21" s="489">
        <f>SUMIFS(Nozzle!$I$1:$I73,Nozzle!$A$1:$A$73,"C49",Nozzle!$B$1:$B$73,"72GC",Nozzle!$F$1:$F$73,"ESEL",Nozzle!$H$1:$H$73,"TBA",Nozzle!$G$1:$G$73,"additional")</f>
        <v>0</v>
      </c>
      <c r="M21" s="490">
        <f>SUMIFS(Nozzle!$P$74:$P$146,Nozzle!$A$74:$A$146,"C49",Nozzle!$B$74:$B$146,"72GC",Nozzle!$F$74:$F$146,"ESEL")</f>
        <v>0</v>
      </c>
      <c r="N21" s="491"/>
      <c r="O21" s="512">
        <f t="shared" si="15"/>
        <v>144</v>
      </c>
      <c r="P21" s="532" t="s">
        <v>1498</v>
      </c>
      <c r="Q21" s="530">
        <f t="shared" si="16"/>
        <v>144</v>
      </c>
      <c r="R21" s="530">
        <f t="shared" si="0"/>
        <v>144</v>
      </c>
      <c r="S21" s="525">
        <f t="shared" si="1"/>
        <v>144</v>
      </c>
      <c r="T21" s="525">
        <f t="shared" si="5"/>
        <v>0</v>
      </c>
      <c r="U21" s="525">
        <f t="shared" si="6"/>
        <v>0</v>
      </c>
      <c r="V21" s="525">
        <f t="shared" si="7"/>
        <v>0</v>
      </c>
      <c r="W21" s="529">
        <f t="shared" si="8"/>
        <v>144</v>
      </c>
      <c r="X21" s="529">
        <f t="shared" si="9"/>
        <v>0</v>
      </c>
      <c r="Y21" s="536">
        <f t="shared" si="10"/>
        <v>144</v>
      </c>
      <c r="Z21" s="513" t="s">
        <v>1498</v>
      </c>
      <c r="AA21" s="493">
        <f t="shared" si="11"/>
        <v>0</v>
      </c>
      <c r="AB21" s="493">
        <f t="shared" si="12"/>
        <v>0</v>
      </c>
      <c r="AC21" s="493">
        <f t="shared" si="13"/>
        <v>0</v>
      </c>
      <c r="AD21" s="488">
        <f>SUMIFS(Nozzle!$I$1:$I73,Nozzle!$A$1:$A$73,"C49",Nozzle!$B$1:$B$73,"72GC",Nozzle!$F$1:$F$73,"ESSZ",Nozzle!$H$1:$H$73,"STK",Nozzle!$G$1:$G$73,"随机")</f>
        <v>0</v>
      </c>
      <c r="AE21" s="488">
        <f>SUMIFS(Nozzle!$I$1:$I73,Nozzle!$A$1:$A$73,"C49",Nozzle!$B$1:$B$73,"72GC",Nozzle!$F$1:$F$73,"ESSZ",Nozzle!$H$1:$H$73,"STK",Nozzle!$G$1:$G$73,"additional")</f>
        <v>0</v>
      </c>
      <c r="AF21" s="488">
        <f>SUMIFS(Nozzle!$O$74:$O$146,Nozzle!$A$74:$A$146,"C49",Nozzle!$B$74:$B$146,"72GC",Nozzle!$F$74:$F$146,"ESSZ",Nozzle!$G$74:$G$146,"随机")</f>
        <v>0</v>
      </c>
      <c r="AG21" s="488">
        <f>SUMIFS(Nozzle!$O$74:$O$146,Nozzle!$A$74:$A$146,"C49",Nozzle!$B$74:$B$146,"72GC",Nozzle!$F$74:$F$146,"ESSZ",Nozzle!$G$74:$G$146,"additional")</f>
        <v>0</v>
      </c>
      <c r="AH21" s="489">
        <f>SUMIFS(Nozzle!$I$1:$I73,Nozzle!$A$1:$A$73,"C49",Nozzle!$B$1:$B$73,"72GC",Nozzle!$F$1:$F$73,"ESSZ",Nozzle!$H$1:$H$73,"Incoming",Nozzle!$G$1:$G$73,"随机")</f>
        <v>0</v>
      </c>
      <c r="AI21" s="489">
        <f>SUMIFS(Nozzle!$I$1:$I73,Nozzle!$A$1:$A$73,"C49",Nozzle!$B$1:$B$73,"72GC",Nozzle!$F$1:$F$73,"ESSZ",Nozzle!$H$1:$H$73,"Incoming",Nozzle!$G$1:$G$73,"additional")</f>
        <v>0</v>
      </c>
      <c r="AJ21" s="489">
        <f>SUMIFS(Nozzle!$I$1:$I73,Nozzle!$A$1:$A$73,"C49",Nozzle!$B$1:$B$73,"72GC",Nozzle!$F$1:$F$73,"ESSZ",Nozzle!$H$1:$H$73,"TBA",Nozzle!$G$1:$G$73,"随机")</f>
        <v>0</v>
      </c>
      <c r="AK21" s="489">
        <f>SUMIFS(Nozzle!$I$1:$I73,Nozzle!$A$1:$A$73,"C49",Nozzle!$B$1:$B$73,"72GC",Nozzle!$F$1:$F$73,"ESSZ",Nozzle!$H$1:$H$73,"TBA",Nozzle!$G$1:$G$73,"additional")</f>
        <v>0</v>
      </c>
      <c r="AL21" s="490">
        <f>SUMIFS(Nozzle!$P$74:$P$146,Nozzle!$A$74:$A$146,"C49",Nozzle!$B$74:$B$146,"72GC",Nozzle!$F$74:$F$146,"ESSZ")</f>
        <v>0</v>
      </c>
      <c r="AM21" s="491"/>
      <c r="AN21" s="492">
        <f t="shared" si="14"/>
        <v>0</v>
      </c>
    </row>
    <row r="22" spans="1:40" s="48" customFormat="1" ht="17.399999999999999">
      <c r="A22" s="474" t="s">
        <v>1296</v>
      </c>
      <c r="B22" s="493">
        <f t="shared" si="2"/>
        <v>54</v>
      </c>
      <c r="C22" s="493">
        <f t="shared" si="3"/>
        <v>0</v>
      </c>
      <c r="D22" s="493">
        <f t="shared" si="4"/>
        <v>54</v>
      </c>
      <c r="E22" s="488">
        <f>SUMIFS(Nozzle!$I$1:$I73,Nozzle!$A$1:$A$73,"C49",Nozzle!$B$1:$B$73,"72GD",Nozzle!$F$1:$F$73,"ESEL",Nozzle!$H$1:$H$73,"STK",Nozzle!$G$1:$G$73,"随机")</f>
        <v>0</v>
      </c>
      <c r="F22" s="488">
        <f>SUMIFS(Nozzle!$I$1:$I73,Nozzle!$A$1:$A$73,"C49",Nozzle!$B$1:$B$73,"72GD",Nozzle!$F$1:$F$73,"ESEL",Nozzle!$H$1:$H$73,"STK",Nozzle!$G$1:$G$73,"additional")</f>
        <v>54</v>
      </c>
      <c r="G22" s="488">
        <f>SUMIFS(Nozzle!$O$74:$O$146,Nozzle!$A$74:$A$146,"C49",Nozzle!$B$74:$B$146,"72GD",Nozzle!$F$74:$F$146,"ESEL",Nozzle!$G$74:$G$146,"随机")</f>
        <v>0</v>
      </c>
      <c r="H22" s="488">
        <f>SUMIFS(Nozzle!$O$74:$O$146,Nozzle!$A$74:$A$146,"C49",Nozzle!$B$74:$B$146,"72GD",Nozzle!$F$74:$F$146,"ESEL",Nozzle!$G$74:$G$146,"additional")</f>
        <v>0</v>
      </c>
      <c r="I22" s="489">
        <f>SUMIFS(Nozzle!$I$1:$I73,Nozzle!$A$1:$A$73,"C49",Nozzle!$B$1:$B$73,"72GD",Nozzle!$F$1:$F$73,"ESEL",Nozzle!$H$1:$H$73,"Incoming",Nozzle!$G$1:$G$73,"随机")</f>
        <v>0</v>
      </c>
      <c r="J22" s="489">
        <f>SUMIFS(Nozzle!$I$1:$I73,Nozzle!$A$1:$A$73,"C49",Nozzle!$B$1:$B$73,"72GD",Nozzle!$F$1:$F$73,"ESEL",Nozzle!$H$1:$H$73,"Incoming",Nozzle!$G$1:$G$73,"additional")</f>
        <v>0</v>
      </c>
      <c r="K22" s="489">
        <f>SUMIFS(Nozzle!$I$1:$I73,Nozzle!$A$1:$A$73,"C49",Nozzle!$B$1:$B$73,"72GD",Nozzle!$F$1:$F$73,"ESEL",Nozzle!$H$1:$H$73,"TBA",Nozzle!$G$1:$G$73,"随机")</f>
        <v>0</v>
      </c>
      <c r="L22" s="489">
        <f>SUMIFS(Nozzle!$I$1:$I73,Nozzle!$A$1:$A$73,"C49",Nozzle!$B$1:$B$73,"72GD",Nozzle!$F$1:$F$73,"ESEL",Nozzle!$H$1:$H$73,"TBA",Nozzle!$G$1:$G$73,"additional")</f>
        <v>0</v>
      </c>
      <c r="M22" s="490">
        <f>SUMIFS(Nozzle!$P$74:$P$146,Nozzle!$A$74:$A$146,"C49",Nozzle!$B$74:$B$146,"72GD",Nozzle!$F$74:$F$146,"ESEL")</f>
        <v>0</v>
      </c>
      <c r="N22" s="491"/>
      <c r="O22" s="512">
        <f t="shared" si="15"/>
        <v>54</v>
      </c>
      <c r="P22" s="532" t="s">
        <v>1296</v>
      </c>
      <c r="Q22" s="530">
        <f t="shared" si="16"/>
        <v>54</v>
      </c>
      <c r="R22" s="530">
        <f t="shared" si="0"/>
        <v>54</v>
      </c>
      <c r="S22" s="525">
        <f t="shared" si="1"/>
        <v>54</v>
      </c>
      <c r="T22" s="525">
        <f t="shared" si="5"/>
        <v>0</v>
      </c>
      <c r="U22" s="525">
        <f t="shared" si="6"/>
        <v>0</v>
      </c>
      <c r="V22" s="525">
        <f t="shared" si="7"/>
        <v>0</v>
      </c>
      <c r="W22" s="529">
        <f t="shared" si="8"/>
        <v>54</v>
      </c>
      <c r="X22" s="529">
        <f t="shared" si="9"/>
        <v>0</v>
      </c>
      <c r="Y22" s="536">
        <f t="shared" si="10"/>
        <v>54</v>
      </c>
      <c r="Z22" s="513" t="s">
        <v>1296</v>
      </c>
      <c r="AA22" s="493">
        <f t="shared" si="11"/>
        <v>0</v>
      </c>
      <c r="AB22" s="493">
        <f t="shared" si="12"/>
        <v>0</v>
      </c>
      <c r="AC22" s="493">
        <f t="shared" si="13"/>
        <v>0</v>
      </c>
      <c r="AD22" s="488">
        <f>SUMIFS(Nozzle!$I$1:$I73,Nozzle!$A$1:$A$73,"C49",Nozzle!$B$1:$B$73,"72GD",Nozzle!$F$1:$F$73,"ESSZ",Nozzle!$H$1:$H$73,"STK",Nozzle!$G$1:$G$73,"随机")</f>
        <v>0</v>
      </c>
      <c r="AE22" s="488">
        <f>SUMIFS(Nozzle!$I$1:$I73,Nozzle!$A$1:$A$73,"C49",Nozzle!$B$1:$B$73,"72GD",Nozzle!$F$1:$F$73,"ESSZ",Nozzle!$H$1:$H$73,"STK",Nozzle!$G$1:$G$73,"additional")</f>
        <v>0</v>
      </c>
      <c r="AF22" s="488">
        <f>SUMIFS(Nozzle!$O$74:$O$146,Nozzle!$A$74:$A$146,"C49",Nozzle!$B$74:$B$146,"72GD",Nozzle!$F$74:$F$146,"ESSZ",Nozzle!$G$74:$G$146,"随机")</f>
        <v>0</v>
      </c>
      <c r="AG22" s="488">
        <f>SUMIFS(Nozzle!$O$74:$O$146,Nozzle!$A$74:$A$146,"C49",Nozzle!$B$74:$B$146,"72GD",Nozzle!$F$74:$F$146,"ESSZ",Nozzle!$G$74:$G$146,"additional")</f>
        <v>0</v>
      </c>
      <c r="AH22" s="489">
        <f>SUMIFS(Nozzle!$I$1:$I73,Nozzle!$A$1:$A$73,"C49",Nozzle!$B$1:$B$73,"72GD",Nozzle!$F$1:$F$73,"ESSZ",Nozzle!$H$1:$H$73,"Incoming",Nozzle!$G$1:$G$73,"随机")</f>
        <v>0</v>
      </c>
      <c r="AI22" s="489">
        <f>SUMIFS(Nozzle!$I$1:$I73,Nozzle!$A$1:$A$73,"C49",Nozzle!$B$1:$B$73,"72GD",Nozzle!$F$1:$F$73,"ESSZ",Nozzle!$H$1:$H$73,"Incoming",Nozzle!$G$1:$G$73,"additional")</f>
        <v>0</v>
      </c>
      <c r="AJ22" s="489">
        <f>SUMIFS(Nozzle!$I$1:$I73,Nozzle!$A$1:$A$73,"C49",Nozzle!$B$1:$B$73,"72GD",Nozzle!$F$1:$F$73,"ESSZ",Nozzle!$H$1:$H$73,"TBA",Nozzle!$G$1:$G$73,"随机")</f>
        <v>0</v>
      </c>
      <c r="AK22" s="489">
        <f>SUMIFS(Nozzle!$I$1:$I73,Nozzle!$A$1:$A$73,"C49",Nozzle!$B$1:$B$73,"72GD",Nozzle!$F$1:$F$73,"ESSZ",Nozzle!$H$1:$H$73,"TBA",Nozzle!$G$1:$G$73,"additional")</f>
        <v>0</v>
      </c>
      <c r="AL22" s="490">
        <f>SUMIFS(Nozzle!$P$74:$P$146,Nozzle!$A$74:$A$146,"C49",Nozzle!$B$74:$B$146,"72GD",Nozzle!$F$74:$F$146,"ESSZ")</f>
        <v>0</v>
      </c>
      <c r="AM22" s="491"/>
      <c r="AN22" s="492">
        <f t="shared" si="14"/>
        <v>0</v>
      </c>
    </row>
    <row r="23" spans="1:40" s="48" customFormat="1">
      <c r="A23" s="444"/>
      <c r="B23" s="493"/>
      <c r="C23" s="493"/>
      <c r="D23" s="493"/>
      <c r="E23" s="488"/>
      <c r="F23" s="488"/>
      <c r="G23" s="488"/>
      <c r="H23" s="488"/>
      <c r="I23" s="489"/>
      <c r="J23" s="489"/>
      <c r="K23" s="489"/>
      <c r="L23" s="489"/>
      <c r="M23" s="490"/>
      <c r="N23" s="491"/>
      <c r="O23" s="512"/>
      <c r="P23" s="533"/>
      <c r="Q23" s="530">
        <f t="shared" si="16"/>
        <v>0</v>
      </c>
      <c r="R23" s="530">
        <f t="shared" si="0"/>
        <v>0</v>
      </c>
      <c r="S23" s="525">
        <f t="shared" si="1"/>
        <v>0</v>
      </c>
      <c r="T23" s="525">
        <f t="shared" si="5"/>
        <v>0</v>
      </c>
      <c r="U23" s="525">
        <f t="shared" si="6"/>
        <v>0</v>
      </c>
      <c r="V23" s="525">
        <f t="shared" si="7"/>
        <v>0</v>
      </c>
      <c r="W23" s="529">
        <f t="shared" si="8"/>
        <v>0</v>
      </c>
      <c r="X23" s="529">
        <f t="shared" si="9"/>
        <v>0</v>
      </c>
      <c r="Y23" s="536">
        <f t="shared" si="10"/>
        <v>0</v>
      </c>
      <c r="Z23" s="514"/>
      <c r="AA23" s="493"/>
      <c r="AB23" s="493"/>
      <c r="AC23" s="493"/>
      <c r="AD23" s="488"/>
      <c r="AE23" s="488"/>
      <c r="AF23" s="488"/>
      <c r="AG23" s="488"/>
      <c r="AH23" s="489"/>
      <c r="AI23" s="489"/>
      <c r="AJ23" s="489"/>
      <c r="AK23" s="489"/>
      <c r="AL23" s="490"/>
      <c r="AM23" s="491"/>
      <c r="AN23" s="492"/>
    </row>
    <row r="24" spans="1:40" s="48" customFormat="1">
      <c r="A24" s="444"/>
      <c r="B24" s="493"/>
      <c r="C24" s="493"/>
      <c r="D24" s="493"/>
      <c r="E24" s="488"/>
      <c r="F24" s="488"/>
      <c r="G24" s="488"/>
      <c r="H24" s="488"/>
      <c r="I24" s="489"/>
      <c r="J24" s="489"/>
      <c r="K24" s="489"/>
      <c r="L24" s="489"/>
      <c r="M24" s="490"/>
      <c r="N24" s="491"/>
      <c r="O24" s="512"/>
      <c r="P24" s="533"/>
      <c r="Q24" s="530">
        <f t="shared" si="16"/>
        <v>0</v>
      </c>
      <c r="R24" s="530">
        <f t="shared" si="0"/>
        <v>0</v>
      </c>
      <c r="S24" s="525">
        <f t="shared" si="1"/>
        <v>0</v>
      </c>
      <c r="T24" s="525">
        <f t="shared" si="5"/>
        <v>0</v>
      </c>
      <c r="U24" s="525">
        <f t="shared" si="6"/>
        <v>0</v>
      </c>
      <c r="V24" s="525">
        <f t="shared" si="7"/>
        <v>0</v>
      </c>
      <c r="W24" s="529">
        <f t="shared" si="8"/>
        <v>0</v>
      </c>
      <c r="X24" s="529">
        <f t="shared" si="9"/>
        <v>0</v>
      </c>
      <c r="Y24" s="536">
        <f t="shared" si="10"/>
        <v>0</v>
      </c>
      <c r="Z24" s="514"/>
      <c r="AA24" s="493"/>
      <c r="AB24" s="493"/>
      <c r="AC24" s="493"/>
      <c r="AD24" s="488"/>
      <c r="AE24" s="488"/>
      <c r="AF24" s="488"/>
      <c r="AG24" s="488"/>
      <c r="AH24" s="489"/>
      <c r="AI24" s="489"/>
      <c r="AJ24" s="489"/>
      <c r="AK24" s="489"/>
      <c r="AL24" s="490"/>
      <c r="AM24" s="491"/>
      <c r="AN24" s="492"/>
    </row>
    <row r="25" spans="1:40" s="48" customFormat="1">
      <c r="A25" s="444"/>
      <c r="B25" s="493"/>
      <c r="C25" s="493"/>
      <c r="D25" s="493"/>
      <c r="E25" s="488"/>
      <c r="F25" s="488"/>
      <c r="G25" s="488"/>
      <c r="H25" s="488"/>
      <c r="I25" s="489"/>
      <c r="J25" s="489"/>
      <c r="K25" s="489"/>
      <c r="L25" s="489"/>
      <c r="M25" s="490"/>
      <c r="N25" s="491"/>
      <c r="O25" s="512"/>
      <c r="P25" s="533"/>
      <c r="Q25" s="530"/>
      <c r="R25" s="530">
        <f t="shared" si="0"/>
        <v>0</v>
      </c>
      <c r="S25" s="525">
        <f t="shared" si="1"/>
        <v>0</v>
      </c>
      <c r="T25" s="525">
        <f t="shared" si="5"/>
        <v>0</v>
      </c>
      <c r="U25" s="525">
        <f t="shared" si="6"/>
        <v>0</v>
      </c>
      <c r="V25" s="525">
        <f t="shared" si="7"/>
        <v>0</v>
      </c>
      <c r="W25" s="529">
        <f t="shared" si="8"/>
        <v>0</v>
      </c>
      <c r="X25" s="529">
        <f t="shared" si="9"/>
        <v>0</v>
      </c>
      <c r="Y25" s="536">
        <f t="shared" si="10"/>
        <v>0</v>
      </c>
      <c r="Z25" s="514"/>
      <c r="AA25" s="493"/>
      <c r="AB25" s="493"/>
      <c r="AC25" s="493"/>
      <c r="AD25" s="488"/>
      <c r="AE25" s="488"/>
      <c r="AF25" s="488"/>
      <c r="AG25" s="488"/>
      <c r="AH25" s="489"/>
      <c r="AI25" s="489"/>
      <c r="AJ25" s="489"/>
      <c r="AK25" s="489"/>
      <c r="AL25" s="490"/>
      <c r="AM25" s="491"/>
      <c r="AN25" s="492"/>
    </row>
    <row r="26" spans="1:40" s="48" customFormat="1" ht="14.4" thickBot="1">
      <c r="A26" s="65"/>
      <c r="B26" s="471">
        <f t="shared" ref="B26:O26" si="17">SUBTOTAL(9,B4:B25)</f>
        <v>1452</v>
      </c>
      <c r="C26" s="471">
        <f>SUM(C4:C25)</f>
        <v>260</v>
      </c>
      <c r="D26" s="471">
        <f>SUM(D4:D25)</f>
        <v>1192</v>
      </c>
      <c r="E26" s="471"/>
      <c r="F26" s="506">
        <f>SUM(F4:F25)</f>
        <v>1557</v>
      </c>
      <c r="G26" s="471"/>
      <c r="H26" s="471"/>
      <c r="I26" s="471">
        <f t="shared" si="17"/>
        <v>270</v>
      </c>
      <c r="J26" s="471">
        <f t="shared" si="17"/>
        <v>0</v>
      </c>
      <c r="K26" s="506">
        <f>SUM(K4:K25)</f>
        <v>30</v>
      </c>
      <c r="L26" s="506">
        <f>SUM(L4:L25)</f>
        <v>0</v>
      </c>
      <c r="M26" s="506">
        <f>SUM(M4:M25)</f>
        <v>0</v>
      </c>
      <c r="N26" s="471"/>
      <c r="O26" s="471">
        <f t="shared" si="17"/>
        <v>1752</v>
      </c>
      <c r="P26" s="526"/>
      <c r="Q26" s="527"/>
      <c r="R26" s="527"/>
      <c r="S26" s="528">
        <f t="shared" ref="S26:Y26" si="18">SUM(S4:S25)</f>
        <v>1103</v>
      </c>
      <c r="T26" s="528">
        <f t="shared" si="18"/>
        <v>897</v>
      </c>
      <c r="U26" s="528">
        <f t="shared" si="18"/>
        <v>260</v>
      </c>
      <c r="V26" s="528">
        <f t="shared" si="18"/>
        <v>20</v>
      </c>
      <c r="W26" s="539">
        <f t="shared" si="18"/>
        <v>1363</v>
      </c>
      <c r="X26" s="539">
        <f t="shared" si="18"/>
        <v>917</v>
      </c>
      <c r="Y26" s="537">
        <f t="shared" si="18"/>
        <v>2000</v>
      </c>
      <c r="Z26" s="65"/>
      <c r="AA26" s="471">
        <f t="shared" ref="AA26" si="19">SUBTOTAL(9,AA4:AA25)</f>
        <v>917</v>
      </c>
      <c r="AB26" s="471">
        <f>SUM(AB4:AB25)</f>
        <v>20</v>
      </c>
      <c r="AC26" s="471">
        <f>SUM(AC4:AC25)</f>
        <v>897</v>
      </c>
      <c r="AD26" s="471"/>
      <c r="AE26" s="506">
        <f>SUM(AE4:AE25)</f>
        <v>1116</v>
      </c>
      <c r="AF26" s="471"/>
      <c r="AG26" s="471"/>
      <c r="AH26" s="471">
        <f t="shared" ref="AH26:AI26" si="20">SUBTOTAL(9,AH4:AH25)</f>
        <v>0</v>
      </c>
      <c r="AI26" s="471">
        <f t="shared" si="20"/>
        <v>0</v>
      </c>
      <c r="AJ26" s="471"/>
      <c r="AK26" s="471"/>
      <c r="AL26" s="506">
        <f>SUM(AL4:AL25)</f>
        <v>0</v>
      </c>
      <c r="AM26" s="471"/>
      <c r="AN26" s="471">
        <f t="shared" ref="AN26" si="21">SUBTOTAL(9,AN4:AN25)</f>
        <v>917</v>
      </c>
    </row>
    <row r="27" spans="1:40" s="48" customFormat="1" ht="1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5"/>
      <c r="Q27" s="516"/>
      <c r="R27" s="516"/>
      <c r="S27" s="522">
        <f>S26+T26-AL26</f>
        <v>2000</v>
      </c>
      <c r="T27" s="523"/>
      <c r="U27" s="522">
        <f>U26+V26</f>
        <v>280</v>
      </c>
      <c r="V27" s="523"/>
      <c r="W27" s="522">
        <f>W26+X26</f>
        <v>2280</v>
      </c>
      <c r="X27" s="538"/>
      <c r="Y27" s="524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5" t="s">
        <v>1680</v>
      </c>
      <c r="B28" s="507"/>
      <c r="C28" s="486">
        <f>AB26+C26</f>
        <v>280</v>
      </c>
      <c r="D28" s="507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2280</v>
      </c>
      <c r="T28" s="18"/>
      <c r="U28" s="18"/>
      <c r="V28" s="18"/>
      <c r="W28" s="18"/>
      <c r="X28" s="18"/>
      <c r="Y28" s="18"/>
    </row>
    <row r="29" spans="1:40" ht="14.4" thickTop="1"/>
    <row r="32" spans="1:40" ht="40.5" customHeight="1">
      <c r="A32" s="487" t="s">
        <v>1678</v>
      </c>
      <c r="B32" s="465" t="s">
        <v>1665</v>
      </c>
      <c r="C32" s="465" t="s">
        <v>1674</v>
      </c>
      <c r="D32" s="475" t="s">
        <v>1671</v>
      </c>
      <c r="E32" s="476" t="s">
        <v>1670</v>
      </c>
      <c r="F32" s="476" t="s">
        <v>189</v>
      </c>
      <c r="G32" s="475" t="s">
        <v>1672</v>
      </c>
      <c r="H32" s="466" t="s">
        <v>1673</v>
      </c>
      <c r="I32" s="465" t="s">
        <v>1675</v>
      </c>
      <c r="K32" s="487" t="s">
        <v>1679</v>
      </c>
      <c r="L32" s="465" t="s">
        <v>1665</v>
      </c>
      <c r="M32" s="465" t="s">
        <v>1674</v>
      </c>
      <c r="N32" s="475" t="s">
        <v>1671</v>
      </c>
      <c r="O32" s="476" t="s">
        <v>1670</v>
      </c>
      <c r="P32" s="476" t="s">
        <v>189</v>
      </c>
      <c r="Q32" s="475" t="s">
        <v>1672</v>
      </c>
      <c r="R32" s="466" t="s">
        <v>1673</v>
      </c>
      <c r="S32" s="465" t="s">
        <v>1675</v>
      </c>
      <c r="T32" s="18"/>
      <c r="U32" s="487" t="s">
        <v>1683</v>
      </c>
      <c r="V32" s="465" t="s">
        <v>1665</v>
      </c>
      <c r="W32" s="465" t="s">
        <v>1674</v>
      </c>
      <c r="X32" s="475" t="s">
        <v>1671</v>
      </c>
      <c r="Y32" s="476" t="s">
        <v>1670</v>
      </c>
      <c r="Z32" s="476" t="s">
        <v>189</v>
      </c>
      <c r="AA32" s="475" t="s">
        <v>1672</v>
      </c>
      <c r="AB32" s="466" t="s">
        <v>1673</v>
      </c>
      <c r="AC32" s="465" t="s">
        <v>1675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7.399999999999999">
      <c r="A33" s="474">
        <v>301</v>
      </c>
      <c r="B33" s="493">
        <f>C33-D33</f>
        <v>-20</v>
      </c>
      <c r="C33" s="488">
        <f>SUMIFS(Nozzle!$I$1:$I73,Nozzle!$A$1:$A$73,"C66SZX",Nozzle!$B$1:$B$73,"301",Nozzle!$F$1:$F$73,"ESEL",Nozzle!$H$1:$H$73,"STK",Nozzle!$G$1:$G$73,"additional")</f>
        <v>0</v>
      </c>
      <c r="D33" s="488">
        <f>SUMIFS(Nozzle!$O$74:$O$146,Nozzle!$A$74:$A$146,"C66SZX",Nozzle!$B$74:$B$146,"301",Nozzle!$F$74:$F$146,"ESEL",Nozzle!$G$74:$G$146,"additional")</f>
        <v>20</v>
      </c>
      <c r="E33" s="489">
        <f>SUMIFS(Nozzle!$I$1:$I73,Nozzle!$A$1:$A$73,"C66SZX",Nozzle!$B$1:$B$73,"301",Nozzle!$F$1:$F$73,"ESEL",Nozzle!$H$1:$H$73,"Incoming",Nozzle!$G$1:$G$73,"additional")</f>
        <v>0</v>
      </c>
      <c r="F33" s="489">
        <f>SUMIFS(Nozzle!$I$1:$I73,Nozzle!$A$1:$A$73,"C66SZX",Nozzle!$B$1:$B$73,"301",Nozzle!$F$1:$F$73,"ESEL",Nozzle!$H$1:$H$73,"TBA",Nozzle!$G$1:$G$73,"additional")</f>
        <v>0</v>
      </c>
      <c r="G33" s="490">
        <f>SUMIFS(Nozzle!$P$74:$P$146,Nozzle!$A$74:$A$146,"C66SZX",Nozzle!$B$74:$B$146,"301",Nozzle!$F$74:$F$146,"ESEL")</f>
        <v>0</v>
      </c>
      <c r="H33" s="491">
        <v>40</v>
      </c>
      <c r="I33" s="492">
        <f>B33+E33+F33-G33-H33</f>
        <v>-60</v>
      </c>
      <c r="K33" s="474">
        <v>301</v>
      </c>
      <c r="L33" s="493">
        <f>M33-N33</f>
        <v>-1</v>
      </c>
      <c r="M33" s="488">
        <f>SUMIFS(Nozzle!$I$1:$I73,Nozzle!$A$1:$A$73,"C66SHA",Nozzle!$B$1:$B$73,"301",Nozzle!$F$1:$F$73,"ESEL",Nozzle!$H$1:$H$73,"STK",Nozzle!$G$1:$G$73,"additional")</f>
        <v>0</v>
      </c>
      <c r="N33" s="488">
        <f>SUMIFS(Nozzle!$O$74:$O$146,Nozzle!$A$74:$A$146,"C66SHA",Nozzle!$B$74:$B$146,"301",Nozzle!$F$74:$F$146,"ESEL",Nozzle!$G$74:$G$146,"additional")</f>
        <v>1</v>
      </c>
      <c r="O33" s="489">
        <f>SUMIFS(Nozzle!$I$1:$I73,Nozzle!$A$1:$A$73,"C66SHA",Nozzle!$B$1:$B$73,"301",Nozzle!$F$1:$F$73,"ESEL",Nozzle!$H$1:$H$73,"Incoming",Nozzle!$G$1:$G$73,"additional")</f>
        <v>0</v>
      </c>
      <c r="P33" s="489">
        <f>SUMIFS(Nozzle!$I$1:$I73,Nozzle!$A$1:$A$73,"C66SHA",Nozzle!$B$1:$B$73,"301",Nozzle!$F$1:$F$73,"ESEL",Nozzle!$H$1:$H$73,"TBA",Nozzle!$G$1:$G$73,"additional")</f>
        <v>0</v>
      </c>
      <c r="Q33" s="490">
        <f>SUMIFS(Nozzle!$P$74:$P$146,Nozzle!$A$74:$A$146,"C66SHA",Nozzle!$B$74:$B$146,"301",Nozzle!$F$74:$F$146,"ESEL")</f>
        <v>0</v>
      </c>
      <c r="R33" s="491">
        <v>0</v>
      </c>
      <c r="S33" s="492">
        <f t="shared" ref="S33:S51" si="22">L33+O33+P33-Q33-R33</f>
        <v>-1</v>
      </c>
      <c r="T33" s="18"/>
      <c r="U33" s="474">
        <v>301</v>
      </c>
      <c r="V33" s="493">
        <f>W33-X33</f>
        <v>0</v>
      </c>
      <c r="W33" s="488">
        <f>SUMIFS(Nozzle!$I$1:$I73,Nozzle!$A$1:$A$73,"C66BJS",Nozzle!$B$1:$B$73,"301",Nozzle!$F$1:$F$73,"ESEL",Nozzle!$H$1:$H$73,"STK",Nozzle!$G$1:$G$73,"additional")</f>
        <v>0</v>
      </c>
      <c r="X33" s="488">
        <f>SUMIFS(Nozzle!$O$74:$O$146,Nozzle!$A$74:$A$146,"C66BJS",Nozzle!$B$74:$B$146,"301",Nozzle!$F$74:$F$146,"ESEL",Nozzle!$G$74:$G$146,"additional")</f>
        <v>0</v>
      </c>
      <c r="Y33" s="489">
        <f>SUMIFS(Nozzle!$I$1:$I73,Nozzle!$A$1:$A$73,"C66BJS",Nozzle!$B$1:$B$73,"301",Nozzle!$F$1:$F$73,"ESEL",Nozzle!$H$1:$H$73,"Incoming",Nozzle!$G$1:$G$73,"additional")</f>
        <v>0</v>
      </c>
      <c r="Z33" s="489">
        <f>SUMIFS(Nozzle!$I$1:$I73,Nozzle!$A$1:$A$73,"C66BJS",Nozzle!$B$1:$B$73,"301",Nozzle!$F$1:$F$73,"ESEL",Nozzle!$H$1:$H$73,"TBA",Nozzle!$G$1:$G$73,"additional")</f>
        <v>0</v>
      </c>
      <c r="AA33" s="490">
        <f>SUMIFS(Nozzle!$P$74:$P$146,Nozzle!$A$74:$A$146,"C66BJS",Nozzle!$B$74:$B$146,"301",Nozzle!$F$74:$F$146,"ESEL")</f>
        <v>0</v>
      </c>
      <c r="AB33" s="491">
        <v>0</v>
      </c>
      <c r="AC33" s="492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7.399999999999999">
      <c r="A34" s="474">
        <v>302</v>
      </c>
      <c r="B34" s="493">
        <f t="shared" ref="B34:B51" si="23">C34-D34</f>
        <v>-30</v>
      </c>
      <c r="C34" s="488">
        <f>SUMIFS(Nozzle!$I$1:$I73,Nozzle!$A$1:$A$73,"C66SZX",Nozzle!$B$1:$B$73,"302",Nozzle!$F$1:$F$73,"ESEL",Nozzle!$H$1:$H$73,"STK",Nozzle!$G$1:$G$73,"additional")</f>
        <v>0</v>
      </c>
      <c r="D34" s="488">
        <f>SUMIFS(Nozzle!$O$74:$O$146,Nozzle!$A$74:$A$146,"C66SZX",Nozzle!$B$74:$B$146,"302",Nozzle!$F$74:$F$146,"ESEL",Nozzle!$G$74:$G$146,"additional")</f>
        <v>30</v>
      </c>
      <c r="E34" s="489">
        <f>SUMIFS(Nozzle!$I$1:$I73,Nozzle!$A$1:$A$73,"C66SZX",Nozzle!$B$1:$B$73,"302",Nozzle!$F$1:$F$73,"ESEL",Nozzle!$H$1:$H$73,"Incoming",Nozzle!$G$1:$G$73,"additional")</f>
        <v>0</v>
      </c>
      <c r="F34" s="489">
        <f>SUMIFS(Nozzle!$I$1:$I73,Nozzle!$A$1:$A$73,"C66SZX",Nozzle!$B$1:$B$73,"302",Nozzle!$F$1:$F$73,"ESEL",Nozzle!$H$1:$H$73,"TBA",Nozzle!$G$1:$G$73,"additional")</f>
        <v>0</v>
      </c>
      <c r="G34" s="490">
        <f>SUMIFS(Nozzle!$P$74:$P$146,Nozzle!$A$74:$A$146,"C66SZX",Nozzle!$B$74:$B$146,"302",Nozzle!$F$74:$F$146,"ESEL")</f>
        <v>0</v>
      </c>
      <c r="H34" s="491">
        <v>40</v>
      </c>
      <c r="I34" s="492">
        <f t="shared" ref="I34:I51" si="24">B34+E34+F34-G34-H34</f>
        <v>-70</v>
      </c>
      <c r="K34" s="474">
        <v>302</v>
      </c>
      <c r="L34" s="493">
        <f t="shared" ref="L34:L51" si="25">M34-N34</f>
        <v>-1</v>
      </c>
      <c r="M34" s="488">
        <f>SUMIFS(Nozzle!$I$1:$I73,Nozzle!$A$1:$A$73,"C66SHA",Nozzle!$B$1:$B$73,"302",Nozzle!$F$1:$F$73,"ESEL",Nozzle!$H$1:$H$73,"STK",Nozzle!$G$1:$G$73,"additional")</f>
        <v>0</v>
      </c>
      <c r="N34" s="488">
        <f>SUMIFS(Nozzle!$O$74:$O$146,Nozzle!$A$74:$A$146,"C66SHA",Nozzle!$B$74:$B$146,"302",Nozzle!$F$74:$F$146,"ESEL",Nozzle!$G$74:$G$146,"additional")</f>
        <v>1</v>
      </c>
      <c r="O34" s="489">
        <f>SUMIFS(Nozzle!$I$1:$I73,Nozzle!$A$1:$A$73,"C66SHA",Nozzle!$B$1:$B$73,"302",Nozzle!$F$1:$F$73,"ESEL",Nozzle!$H$1:$H$73,"Incoming",Nozzle!$G$1:$G$73,"additional")</f>
        <v>0</v>
      </c>
      <c r="P34" s="489">
        <f>SUMIFS(Nozzle!$I$1:$I73,Nozzle!$A$1:$A$73,"C66SHA",Nozzle!$B$1:$B$73,"302",Nozzle!$F$1:$F$73,"ESEL",Nozzle!$H$1:$H$73,"TBA",Nozzle!$G$1:$G$73,"additional")</f>
        <v>0</v>
      </c>
      <c r="Q34" s="490">
        <f>SUMIFS(Nozzle!$P$74:$P$146,Nozzle!$A$74:$A$146,"C66SHA",Nozzle!$B$74:$B$146,"302",Nozzle!$F$74:$F$146,"ESEL")</f>
        <v>0</v>
      </c>
      <c r="R34" s="491">
        <v>0</v>
      </c>
      <c r="S34" s="492">
        <f t="shared" si="22"/>
        <v>-1</v>
      </c>
      <c r="T34" s="18"/>
      <c r="U34" s="474">
        <v>302</v>
      </c>
      <c r="V34" s="493">
        <f t="shared" ref="V34:V51" si="26">W34-X34</f>
        <v>0</v>
      </c>
      <c r="W34" s="488">
        <f>SUMIFS(Nozzle!$I$1:$I73,Nozzle!$A$1:$A$73,"C66BJS",Nozzle!$B$1:$B$73,"302",Nozzle!$F$1:$F$73,"ESEL",Nozzle!$H$1:$H$73,"STK",Nozzle!$G$1:$G$73,"additional")</f>
        <v>0</v>
      </c>
      <c r="X34" s="488">
        <f>SUMIFS(Nozzle!$O$74:$O$146,Nozzle!$A$74:$A$146,"C66BJS",Nozzle!$B$74:$B$146,"302",Nozzle!$F$74:$F$146,"ESEL",Nozzle!$G$74:$G$146,"additional")</f>
        <v>0</v>
      </c>
      <c r="Y34" s="489">
        <f>SUMIFS(Nozzle!$I$1:$I73,Nozzle!$A$1:$A$73,"C66BJS",Nozzle!$B$1:$B$73,"302",Nozzle!$F$1:$F$73,"ESEL",Nozzle!$H$1:$H$73,"Incoming",Nozzle!$G$1:$G$73,"additional")</f>
        <v>0</v>
      </c>
      <c r="Z34" s="489">
        <f>SUMIFS(Nozzle!$I$1:$I73,Nozzle!$A$1:$A$73,"C66BJS",Nozzle!$B$1:$B$73,"302",Nozzle!$F$1:$F$73,"ESEL",Nozzle!$H$1:$H$73,"TBA",Nozzle!$G$1:$G$73,"additional")</f>
        <v>0</v>
      </c>
      <c r="AA34" s="490">
        <f>SUMIFS(Nozzle!$P$74:$P$146,Nozzle!$A$74:$A$146,"C66BJS",Nozzle!$B$74:$B$146,"302",Nozzle!$F$74:$F$146,"ESEL")</f>
        <v>0</v>
      </c>
      <c r="AB34" s="491">
        <v>0</v>
      </c>
      <c r="AC34" s="492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7.399999999999999">
      <c r="A35" s="474">
        <v>303</v>
      </c>
      <c r="B35" s="493">
        <f t="shared" si="23"/>
        <v>-15</v>
      </c>
      <c r="C35" s="488">
        <f>SUMIFS(Nozzle!$I$1:$I73,Nozzle!$A$1:$A$73,"C66SZX",Nozzle!$B$1:$B$73,"303",Nozzle!$F$1:$F$73,"ESEL",Nozzle!$H$1:$H$73,"STK",Nozzle!$G$1:$G$73,"additional")</f>
        <v>0</v>
      </c>
      <c r="D35" s="488">
        <f>SUMIFS(Nozzle!$O$74:$O$146,Nozzle!$A$74:$A$146,"C66SZX",Nozzle!$B$74:$B$146,"303",Nozzle!$F$74:$F$146,"ESEL",Nozzle!$G$74:$G$146,"additional")</f>
        <v>15</v>
      </c>
      <c r="E35" s="489">
        <f>SUMIFS(Nozzle!$I$1:$I73,Nozzle!$A$1:$A$73,"C66SZX",Nozzle!$B$1:$B$73,"303",Nozzle!$F$1:$F$73,"ESEL",Nozzle!$H$1:$H$73,"Incoming",Nozzle!$G$1:$G$73,"additional")</f>
        <v>0</v>
      </c>
      <c r="F35" s="489">
        <f>SUMIFS(Nozzle!$I$1:$I73,Nozzle!$A$1:$A$73,"C66SZX",Nozzle!$B$1:$B$73,"303",Nozzle!$F$1:$F$73,"ESEL",Nozzle!$H$1:$H$73,"TBA",Nozzle!$G$1:$G$73,"additional")</f>
        <v>0</v>
      </c>
      <c r="G35" s="490">
        <f>SUMIFS(Nozzle!$P$74:$P$146,Nozzle!$A$74:$A$146,"C66SZX",Nozzle!$B$74:$B$146,"303",Nozzle!$F$74:$F$146,"ESEL")</f>
        <v>0</v>
      </c>
      <c r="H35" s="491">
        <v>5</v>
      </c>
      <c r="I35" s="492">
        <f t="shared" si="24"/>
        <v>-20</v>
      </c>
      <c r="K35" s="474">
        <v>303</v>
      </c>
      <c r="L35" s="493">
        <f t="shared" si="25"/>
        <v>-5</v>
      </c>
      <c r="M35" s="488">
        <f>SUMIFS(Nozzle!$I$1:$I73,Nozzle!$A$1:$A$73,"C66SHA",Nozzle!$B$1:$B$73,"303",Nozzle!$F$1:$F$73,"ESEL",Nozzle!$H$1:$H$73,"STK",Nozzle!$G$1:$G$73,"additional")</f>
        <v>0</v>
      </c>
      <c r="N35" s="488">
        <f>SUMIFS(Nozzle!$O$74:$O$146,Nozzle!$A$74:$A$146,"C66SHA",Nozzle!$B$74:$B$146,"303",Nozzle!$F$74:$F$146,"ESEL",Nozzle!$G$74:$G$146,"additional")</f>
        <v>5</v>
      </c>
      <c r="O35" s="489">
        <f>SUMIFS(Nozzle!$I$1:$I73,Nozzle!$A$1:$A$73,"C66SHA",Nozzle!$B$1:$B$73,"303",Nozzle!$F$1:$F$73,"ESEL",Nozzle!$H$1:$H$73,"Incoming",Nozzle!$G$1:$G$73,"additional")</f>
        <v>0</v>
      </c>
      <c r="P35" s="489">
        <f>SUMIFS(Nozzle!$I$1:$I73,Nozzle!$A$1:$A$73,"C66SHA",Nozzle!$B$1:$B$73,"303",Nozzle!$F$1:$F$73,"ESEL",Nozzle!$H$1:$H$73,"TBA",Nozzle!$G$1:$G$73,"additional")</f>
        <v>0</v>
      </c>
      <c r="Q35" s="490">
        <f>SUMIFS(Nozzle!$P$74:$P$146,Nozzle!$A$74:$A$146,"C66SHA",Nozzle!$B$74:$B$146,"303",Nozzle!$F$74:$F$146,"ESEL")</f>
        <v>0</v>
      </c>
      <c r="R35" s="491">
        <v>0</v>
      </c>
      <c r="S35" s="492">
        <f t="shared" si="22"/>
        <v>-5</v>
      </c>
      <c r="T35" s="18"/>
      <c r="U35" s="474">
        <v>303</v>
      </c>
      <c r="V35" s="493">
        <f t="shared" si="26"/>
        <v>0</v>
      </c>
      <c r="W35" s="488">
        <f>SUMIFS(Nozzle!$I$1:$I73,Nozzle!$A$1:$A$73,"C66BJS",Nozzle!$B$1:$B$73,"303",Nozzle!$F$1:$F$73,"ESEL",Nozzle!$H$1:$H$73,"STK",Nozzle!$G$1:$G$73,"additional")</f>
        <v>0</v>
      </c>
      <c r="X35" s="488">
        <f>SUMIFS(Nozzle!$O$74:$O$146,Nozzle!$A$74:$A$146,"C66BJS",Nozzle!$B$74:$B$146,"303",Nozzle!$F$74:$F$146,"ESEL",Nozzle!$G$74:$G$146,"additional")</f>
        <v>0</v>
      </c>
      <c r="Y35" s="489">
        <f>SUMIFS(Nozzle!$I$1:$I73,Nozzle!$A$1:$A$73,"C66BJS",Nozzle!$B$1:$B$73,"303",Nozzle!$F$1:$F$73,"ESEL",Nozzle!$H$1:$H$73,"Incoming",Nozzle!$G$1:$G$73,"additional")</f>
        <v>0</v>
      </c>
      <c r="Z35" s="489">
        <f>SUMIFS(Nozzle!$I$1:$I73,Nozzle!$A$1:$A$73,"C66BJS",Nozzle!$B$1:$B$73,"303",Nozzle!$F$1:$F$73,"ESEL",Nozzle!$H$1:$H$73,"TBA",Nozzle!$G$1:$G$73,"additional")</f>
        <v>0</v>
      </c>
      <c r="AA35" s="490">
        <f>SUMIFS(Nozzle!$P$74:$P$146,Nozzle!$A$74:$A$146,"C66BJS",Nozzle!$B$74:$B$146,"303",Nozzle!$F$74:$F$146,"ESEL")</f>
        <v>0</v>
      </c>
      <c r="AB35" s="491">
        <v>0</v>
      </c>
      <c r="AC35" s="492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7.399999999999999">
      <c r="A36" s="474">
        <v>304</v>
      </c>
      <c r="B36" s="493">
        <f t="shared" si="23"/>
        <v>-5</v>
      </c>
      <c r="C36" s="488">
        <f>SUMIFS(Nozzle!$I$1:$I73,Nozzle!$A$1:$A$73,"C66SZX",Nozzle!$B$1:$B$73,"304",Nozzle!$F$1:$F$73,"ESEL",Nozzle!$H$1:$H$73,"STK",Nozzle!$G$1:$G$73,"additional")</f>
        <v>0</v>
      </c>
      <c r="D36" s="488">
        <f>SUMIFS(Nozzle!$O$74:$O$146,Nozzle!$A$74:$A$146,"C66SZX",Nozzle!$B$74:$B$146,"304",Nozzle!$F$74:$F$146,"ESEL",Nozzle!$G$74:$G$146,"additional")</f>
        <v>5</v>
      </c>
      <c r="E36" s="489">
        <f>SUMIFS(Nozzle!$I$1:$I73,Nozzle!$A$1:$A$73,"C66SZX",Nozzle!$B$1:$B$73,"304",Nozzle!$F$1:$F$73,"ESEL",Nozzle!$H$1:$H$73,"Incoming",Nozzle!$G$1:$G$73,"additional")</f>
        <v>0</v>
      </c>
      <c r="F36" s="489">
        <f>SUMIFS(Nozzle!$I$1:$I73,Nozzle!$A$1:$A$73,"C66SZX",Nozzle!$B$1:$B$73,"304",Nozzle!$F$1:$F$73,"ESEL",Nozzle!$H$1:$H$73,"TBA",Nozzle!$G$1:$G$73,"additional")</f>
        <v>0</v>
      </c>
      <c r="G36" s="490">
        <f>SUMIFS(Nozzle!$P$74:$P$146,Nozzle!$A$74:$A$146,"C66SZX",Nozzle!$B$74:$B$146,"304",Nozzle!$F$74:$F$146,"ESEL")</f>
        <v>0</v>
      </c>
      <c r="H36" s="491">
        <v>2</v>
      </c>
      <c r="I36" s="492">
        <f t="shared" si="24"/>
        <v>-7</v>
      </c>
      <c r="K36" s="474">
        <v>304</v>
      </c>
      <c r="L36" s="493">
        <f t="shared" si="25"/>
        <v>-2</v>
      </c>
      <c r="M36" s="488">
        <f>SUMIFS(Nozzle!$I$1:$I73,Nozzle!$A$1:$A$73,"C66SHA",Nozzle!$B$1:$B$73,"304",Nozzle!$F$1:$F$73,"ESEL",Nozzle!$H$1:$H$73,"STK",Nozzle!$G$1:$G$73,"additional")</f>
        <v>0</v>
      </c>
      <c r="N36" s="488">
        <f>SUMIFS(Nozzle!$O$74:$O$146,Nozzle!$A$74:$A$146,"C66SHA",Nozzle!$B$74:$B$146,"304",Nozzle!$F$74:$F$146,"ESEL",Nozzle!$G$74:$G$146,"additional")</f>
        <v>2</v>
      </c>
      <c r="O36" s="489">
        <f>SUMIFS(Nozzle!$I$1:$I73,Nozzle!$A$1:$A$73,"C66SHA",Nozzle!$B$1:$B$73,"304",Nozzle!$F$1:$F$73,"ESEL",Nozzle!$H$1:$H$73,"Incoming",Nozzle!$G$1:$G$73,"additional")</f>
        <v>0</v>
      </c>
      <c r="P36" s="489">
        <f>SUMIFS(Nozzle!$I$1:$I73,Nozzle!$A$1:$A$73,"C66SHA",Nozzle!$B$1:$B$73,"304",Nozzle!$F$1:$F$73,"ESEL",Nozzle!$H$1:$H$73,"TBA",Nozzle!$G$1:$G$73,"additional")</f>
        <v>0</v>
      </c>
      <c r="Q36" s="490">
        <f>SUMIFS(Nozzle!$P$74:$P$146,Nozzle!$A$74:$A$146,"C66SHA",Nozzle!$B$74:$B$146,"304",Nozzle!$F$74:$F$146,"ESEL")</f>
        <v>0</v>
      </c>
      <c r="R36" s="491">
        <v>0</v>
      </c>
      <c r="S36" s="492">
        <f t="shared" si="22"/>
        <v>-2</v>
      </c>
      <c r="T36" s="18"/>
      <c r="U36" s="474">
        <v>304</v>
      </c>
      <c r="V36" s="493">
        <f t="shared" si="26"/>
        <v>0</v>
      </c>
      <c r="W36" s="488">
        <f>SUMIFS(Nozzle!$I$1:$I73,Nozzle!$A$1:$A$73,"C66BJS",Nozzle!$B$1:$B$73,"304",Nozzle!$F$1:$F$73,"ESEL",Nozzle!$H$1:$H$73,"STK",Nozzle!$G$1:$G$73,"additional")</f>
        <v>0</v>
      </c>
      <c r="X36" s="488">
        <f>SUMIFS(Nozzle!$O$74:$O$146,Nozzle!$A$74:$A$146,"C66BJS",Nozzle!$B$74:$B$146,"304",Nozzle!$F$74:$F$146,"ESEL",Nozzle!$G$74:$G$146,"additional")</f>
        <v>0</v>
      </c>
      <c r="Y36" s="489">
        <f>SUMIFS(Nozzle!$I$1:$I73,Nozzle!$A$1:$A$73,"C66BJS",Nozzle!$B$1:$B$73,"304",Nozzle!$F$1:$F$73,"ESEL",Nozzle!$H$1:$H$73,"Incoming",Nozzle!$G$1:$G$73,"additional")</f>
        <v>0</v>
      </c>
      <c r="Z36" s="489">
        <f>SUMIFS(Nozzle!$I$1:$I73,Nozzle!$A$1:$A$73,"C66BJS",Nozzle!$B$1:$B$73,"304",Nozzle!$F$1:$F$73,"ESEL",Nozzle!$H$1:$H$73,"TBA",Nozzle!$G$1:$G$73,"additional")</f>
        <v>0</v>
      </c>
      <c r="AA36" s="490">
        <f>SUMIFS(Nozzle!$P$74:$P$146,Nozzle!$A$74:$A$146,"C66BJS",Nozzle!$B$74:$B$146,"304",Nozzle!$F$74:$F$146,"ESEL")</f>
        <v>0</v>
      </c>
      <c r="AB36" s="491">
        <v>0</v>
      </c>
      <c r="AC36" s="492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7.399999999999999">
      <c r="A37" s="474">
        <v>305</v>
      </c>
      <c r="B37" s="493">
        <f t="shared" si="23"/>
        <v>0</v>
      </c>
      <c r="C37" s="488">
        <f>SUMIFS(Nozzle!$I$1:$I73,Nozzle!$A$1:$A$73,"C66SZX",Nozzle!$B$1:$B$73,"305",Nozzle!$F$1:$F$73,"ESEL",Nozzle!$H$1:$H$73,"STK",Nozzle!$G$1:$G$73,"additional")</f>
        <v>0</v>
      </c>
      <c r="D37" s="488">
        <f>SUMIFS(Nozzle!$O$74:$O$146,Nozzle!$A$74:$A$146,"C66SZX",Nozzle!$B$74:$B$146,"305",Nozzle!$F$74:$F$146,"ESEL",Nozzle!$G$74:$G$146,"additional")</f>
        <v>0</v>
      </c>
      <c r="E37" s="489">
        <f>SUMIFS(Nozzle!$I$1:$I73,Nozzle!$A$1:$A$73,"C66SZX",Nozzle!$B$1:$B$73,"305",Nozzle!$F$1:$F$73,"ESEL",Nozzle!$H$1:$H$73,"Incoming",Nozzle!$G$1:$G$73,"additional")</f>
        <v>0</v>
      </c>
      <c r="F37" s="489">
        <f>SUMIFS(Nozzle!$I$1:$I73,Nozzle!$A$1:$A$73,"C66SZX",Nozzle!$B$1:$B$73,"305",Nozzle!$F$1:$F$73,"ESEL",Nozzle!$H$1:$H$73,"TBA",Nozzle!$G$1:$G$73,"additional")</f>
        <v>0</v>
      </c>
      <c r="G37" s="490">
        <f>SUMIFS(Nozzle!$P$74:$P$146,Nozzle!$A$74:$A$146,"C66SZX",Nozzle!$B$74:$B$146,"305",Nozzle!$F$74:$F$146,"ESEL")</f>
        <v>0</v>
      </c>
      <c r="H37" s="491">
        <v>0</v>
      </c>
      <c r="I37" s="492">
        <f t="shared" si="24"/>
        <v>0</v>
      </c>
      <c r="K37" s="474">
        <v>305</v>
      </c>
      <c r="L37" s="493">
        <f t="shared" si="25"/>
        <v>0</v>
      </c>
      <c r="M37" s="488">
        <f>SUMIFS(Nozzle!$I$1:$I73,Nozzle!$A$1:$A$73,"C66SHA",Nozzle!$B$1:$B$73,"305",Nozzle!$F$1:$F$73,"ESEL",Nozzle!$H$1:$H$73,"STK",Nozzle!$G$1:$G$73,"additional")</f>
        <v>0</v>
      </c>
      <c r="N37" s="488">
        <f>SUMIFS(Nozzle!$O$74:$O$146,Nozzle!$A$74:$A$146,"C66SHA",Nozzle!$B$74:$B$146,"305",Nozzle!$F$74:$F$146,"ESEL",Nozzle!$G$74:$G$146,"additional")</f>
        <v>0</v>
      </c>
      <c r="O37" s="489">
        <f>SUMIFS(Nozzle!$I$1:$I73,Nozzle!$A$1:$A$73,"C66SHA",Nozzle!$B$1:$B$73,"305",Nozzle!$F$1:$F$73,"ESEL",Nozzle!$H$1:$H$73,"Incoming",Nozzle!$G$1:$G$73,"additional")</f>
        <v>0</v>
      </c>
      <c r="P37" s="489">
        <f>SUMIFS(Nozzle!$I$1:$I73,Nozzle!$A$1:$A$73,"C66SHA",Nozzle!$B$1:$B$73,"305",Nozzle!$F$1:$F$73,"ESEL",Nozzle!$H$1:$H$73,"TBA",Nozzle!$G$1:$G$73,"additional")</f>
        <v>0</v>
      </c>
      <c r="Q37" s="490">
        <f>SUMIFS(Nozzle!$P$74:$P$146,Nozzle!$A$74:$A$146,"C66SHA",Nozzle!$B$74:$B$146,"305",Nozzle!$F$74:$F$146,"ESEL")</f>
        <v>0</v>
      </c>
      <c r="R37" s="491">
        <v>0</v>
      </c>
      <c r="S37" s="492">
        <f t="shared" si="22"/>
        <v>0</v>
      </c>
      <c r="T37" s="18"/>
      <c r="U37" s="474">
        <v>305</v>
      </c>
      <c r="V37" s="493">
        <f t="shared" si="26"/>
        <v>0</v>
      </c>
      <c r="W37" s="488">
        <f>SUMIFS(Nozzle!$I$1:$I73,Nozzle!$A$1:$A$73,"C66BJS",Nozzle!$B$1:$B$73,"305",Nozzle!$F$1:$F$73,"ESEL",Nozzle!$H$1:$H$73,"STK",Nozzle!$G$1:$G$73,"additional")</f>
        <v>0</v>
      </c>
      <c r="X37" s="488">
        <f>SUMIFS(Nozzle!$O$74:$O$146,Nozzle!$A$74:$A$146,"C66BJS",Nozzle!$B$74:$B$146,"305",Nozzle!$F$74:$F$146,"ESEL",Nozzle!$G$74:$G$146,"additional")</f>
        <v>0</v>
      </c>
      <c r="Y37" s="489">
        <f>SUMIFS(Nozzle!$I$1:$I73,Nozzle!$A$1:$A$73,"C66BJS",Nozzle!$B$1:$B$73,"305",Nozzle!$F$1:$F$73,"ESEL",Nozzle!$H$1:$H$73,"Incoming",Nozzle!$G$1:$G$73,"additional")</f>
        <v>0</v>
      </c>
      <c r="Z37" s="489">
        <f>SUMIFS(Nozzle!$I$1:$I73,Nozzle!$A$1:$A$73,"C66BJS",Nozzle!$B$1:$B$73,"305",Nozzle!$F$1:$F$73,"ESEL",Nozzle!$H$1:$H$73,"TBA",Nozzle!$G$1:$G$73,"additional")</f>
        <v>0</v>
      </c>
      <c r="AA37" s="490">
        <f>SUMIFS(Nozzle!$P$74:$P$146,Nozzle!$A$74:$A$146,"C66BJS",Nozzle!$B$74:$B$146,"305",Nozzle!$F$74:$F$146,"ESEL")</f>
        <v>0</v>
      </c>
      <c r="AB37" s="491">
        <v>0</v>
      </c>
      <c r="AC37" s="492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7.399999999999999">
      <c r="A38" s="474">
        <v>306</v>
      </c>
      <c r="B38" s="493">
        <f t="shared" si="23"/>
        <v>0</v>
      </c>
      <c r="C38" s="488">
        <f>SUMIFS(Nozzle!$I$1:$I73,Nozzle!$A$1:$A$73,"C66SZX",Nozzle!$B$1:$B$73,"306",Nozzle!$F$1:$F$73,"ESEL",Nozzle!$H$1:$H$73,"STK",Nozzle!$G$1:$G$73,"additional")</f>
        <v>0</v>
      </c>
      <c r="D38" s="488">
        <f>SUMIFS(Nozzle!$O$74:$O$146,Nozzle!$A$74:$A$146,"C66SZX",Nozzle!$B$74:$B$146,"306",Nozzle!$F$74:$F$146,"ESEL",Nozzle!$G$74:$G$146,"additional")</f>
        <v>0</v>
      </c>
      <c r="E38" s="489">
        <f>SUMIFS(Nozzle!$I$1:$I73,Nozzle!$A$1:$A$73,"C66SZX",Nozzle!$B$1:$B$73,"306",Nozzle!$F$1:$F$73,"ESEL",Nozzle!$H$1:$H$73,"Incoming",Nozzle!$G$1:$G$73,"additional")</f>
        <v>0</v>
      </c>
      <c r="F38" s="489">
        <f>SUMIFS(Nozzle!$I$1:$I73,Nozzle!$A$1:$A$73,"C66SZX",Nozzle!$B$1:$B$73,"306",Nozzle!$F$1:$F$73,"ESEL",Nozzle!$H$1:$H$73,"TBA",Nozzle!$G$1:$G$73,"additional")</f>
        <v>0</v>
      </c>
      <c r="G38" s="490">
        <f>SUMIFS(Nozzle!$P$74:$P$146,Nozzle!$A$74:$A$146,"C66SZX",Nozzle!$B$74:$B$146,"306",Nozzle!$F$74:$F$146,"ESEL")</f>
        <v>0</v>
      </c>
      <c r="H38" s="491">
        <v>0</v>
      </c>
      <c r="I38" s="492">
        <f t="shared" si="24"/>
        <v>0</v>
      </c>
      <c r="K38" s="474">
        <v>306</v>
      </c>
      <c r="L38" s="493">
        <f t="shared" si="25"/>
        <v>0</v>
      </c>
      <c r="M38" s="488">
        <f>SUMIFS(Nozzle!$I$1:$I73,Nozzle!$A$1:$A$73,"C66SHA",Nozzle!$B$1:$B$73,"306",Nozzle!$F$1:$F$73,"ESEL",Nozzle!$H$1:$H$73,"STK",Nozzle!$G$1:$G$73,"additional")</f>
        <v>0</v>
      </c>
      <c r="N38" s="488">
        <f>SUMIFS(Nozzle!$O$74:$O$146,Nozzle!$A$74:$A$146,"C66SHA",Nozzle!$B$74:$B$146,"306",Nozzle!$F$74:$F$146,"ESEL",Nozzle!$G$74:$G$146,"additional")</f>
        <v>0</v>
      </c>
      <c r="O38" s="489">
        <f>SUMIFS(Nozzle!$I$1:$I73,Nozzle!$A$1:$A$73,"C66SHA",Nozzle!$B$1:$B$73,"306",Nozzle!$F$1:$F$73,"ESEL",Nozzle!$H$1:$H$73,"Incoming",Nozzle!$G$1:$G$73,"additional")</f>
        <v>0</v>
      </c>
      <c r="P38" s="489">
        <f>SUMIFS(Nozzle!$I$1:$I73,Nozzle!$A$1:$A$73,"C66SHA",Nozzle!$B$1:$B$73,"306",Nozzle!$F$1:$F$73,"ESEL",Nozzle!$H$1:$H$73,"TBA",Nozzle!$G$1:$G$73,"additional")</f>
        <v>0</v>
      </c>
      <c r="Q38" s="490">
        <f>SUMIFS(Nozzle!$P$74:$P$146,Nozzle!$A$74:$A$146,"C66SHA",Nozzle!$B$74:$B$146,"306",Nozzle!$F$74:$F$146,"ESEL")</f>
        <v>0</v>
      </c>
      <c r="R38" s="491">
        <v>0</v>
      </c>
      <c r="S38" s="492">
        <f t="shared" si="22"/>
        <v>0</v>
      </c>
      <c r="T38" s="18"/>
      <c r="U38" s="474">
        <v>306</v>
      </c>
      <c r="V38" s="493">
        <f t="shared" si="26"/>
        <v>0</v>
      </c>
      <c r="W38" s="488">
        <f>SUMIFS(Nozzle!$I$1:$I73,Nozzle!$A$1:$A$73,"C66BJS",Nozzle!$B$1:$B$73,"306",Nozzle!$F$1:$F$73,"ESEL",Nozzle!$H$1:$H$73,"STK",Nozzle!$G$1:$G$73,"additional")</f>
        <v>0</v>
      </c>
      <c r="X38" s="488">
        <f>SUMIFS(Nozzle!$O$74:$O$146,Nozzle!$A$74:$A$146,"C66BJS",Nozzle!$B$74:$B$146,"306",Nozzle!$F$74:$F$146,"ESEL",Nozzle!$G$74:$G$146,"additional")</f>
        <v>0</v>
      </c>
      <c r="Y38" s="489">
        <f>SUMIFS(Nozzle!$I$1:$I73,Nozzle!$A$1:$A$73,"C66BJS",Nozzle!$B$1:$B$73,"306",Nozzle!$F$1:$F$73,"ESEL",Nozzle!$H$1:$H$73,"Incoming",Nozzle!$G$1:$G$73,"additional")</f>
        <v>0</v>
      </c>
      <c r="Z38" s="489">
        <f>SUMIFS(Nozzle!$I$1:$I73,Nozzle!$A$1:$A$73,"C66BJS",Nozzle!$B$1:$B$73,"306",Nozzle!$F$1:$F$73,"ESEL",Nozzle!$H$1:$H$73,"TBA",Nozzle!$G$1:$G$73,"additional")</f>
        <v>0</v>
      </c>
      <c r="AA38" s="490">
        <f>SUMIFS(Nozzle!$P$74:$P$146,Nozzle!$A$74:$A$146,"C66BJS",Nozzle!$B$74:$B$146,"306",Nozzle!$F$74:$F$146,"ESEL")</f>
        <v>0</v>
      </c>
      <c r="AB38" s="491">
        <v>0</v>
      </c>
      <c r="AC38" s="492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7.399999999999999">
      <c r="A39" s="474">
        <v>307</v>
      </c>
      <c r="B39" s="493">
        <f t="shared" si="23"/>
        <v>0</v>
      </c>
      <c r="C39" s="488">
        <f>SUMIFS(Nozzle!$I$1:$I73,Nozzle!$A$1:$A$73,"C66SZX",Nozzle!$B$1:$B$73,"307",Nozzle!$F$1:$F$73,"ESEL",Nozzle!$H$1:$H$73,"STK",Nozzle!$G$1:$G$73,"additional")</f>
        <v>0</v>
      </c>
      <c r="D39" s="488">
        <f>SUMIFS(Nozzle!$O$74:$O$146,Nozzle!$A$74:$A$146,"C66SZX",Nozzle!$B$74:$B$146,"307",Nozzle!$F$74:$F$146,"ESEL",Nozzle!$G$74:$G$146,"additional")</f>
        <v>0</v>
      </c>
      <c r="E39" s="489">
        <f>SUMIFS(Nozzle!$I$1:$I73,Nozzle!$A$1:$A$73,"C66SZX",Nozzle!$B$1:$B$73,"307",Nozzle!$F$1:$F$73,"ESEL",Nozzle!$H$1:$H$73,"Incoming",Nozzle!$G$1:$G$73,"additional")</f>
        <v>0</v>
      </c>
      <c r="F39" s="489">
        <f>SUMIFS(Nozzle!$I$1:$I73,Nozzle!$A$1:$A$73,"C66SZX",Nozzle!$B$1:$B$73,"307",Nozzle!$F$1:$F$73,"ESEL",Nozzle!$H$1:$H$73,"TBA",Nozzle!$G$1:$G$73,"additional")</f>
        <v>0</v>
      </c>
      <c r="G39" s="490">
        <f>SUMIFS(Nozzle!$P$74:$P$146,Nozzle!$A$74:$A$146,"C66SZX",Nozzle!$B$74:$B$146,"307",Nozzle!$F$74:$F$146,"ESEL")</f>
        <v>0</v>
      </c>
      <c r="H39" s="491">
        <v>0</v>
      </c>
      <c r="I39" s="492">
        <f t="shared" si="24"/>
        <v>0</v>
      </c>
      <c r="K39" s="474">
        <v>307</v>
      </c>
      <c r="L39" s="493">
        <f t="shared" si="25"/>
        <v>0</v>
      </c>
      <c r="M39" s="488">
        <f>SUMIFS(Nozzle!$I$1:$I73,Nozzle!$A$1:$A$73,"C66SHA",Nozzle!$B$1:$B$73,"307",Nozzle!$F$1:$F$73,"ESEL",Nozzle!$H$1:$H$73,"STK",Nozzle!$G$1:$G$73,"additional")</f>
        <v>0</v>
      </c>
      <c r="N39" s="488">
        <f>SUMIFS(Nozzle!$O$74:$O$146,Nozzle!$A$74:$A$146,"C66SHA",Nozzle!$B$74:$B$146,"307",Nozzle!$F$74:$F$146,"ESEL",Nozzle!$G$74:$G$146,"additional")</f>
        <v>0</v>
      </c>
      <c r="O39" s="489">
        <f>SUMIFS(Nozzle!$I$1:$I73,Nozzle!$A$1:$A$73,"C66SHA",Nozzle!$B$1:$B$73,"307",Nozzle!$F$1:$F$73,"ESEL",Nozzle!$H$1:$H$73,"Incoming",Nozzle!$G$1:$G$73,"additional")</f>
        <v>0</v>
      </c>
      <c r="P39" s="489">
        <f>SUMIFS(Nozzle!$I$1:$I73,Nozzle!$A$1:$A$73,"C66SHA",Nozzle!$B$1:$B$73,"307",Nozzle!$F$1:$F$73,"ESEL",Nozzle!$H$1:$H$73,"TBA",Nozzle!$G$1:$G$73,"additional")</f>
        <v>0</v>
      </c>
      <c r="Q39" s="490">
        <f>SUMIFS(Nozzle!$P$74:$P$146,Nozzle!$A$74:$A$146,"C66SHA",Nozzle!$B$74:$B$146,"307",Nozzle!$F$74:$F$146,"ESEL")</f>
        <v>0</v>
      </c>
      <c r="R39" s="491">
        <v>0</v>
      </c>
      <c r="S39" s="492">
        <f t="shared" si="22"/>
        <v>0</v>
      </c>
      <c r="T39" s="18"/>
      <c r="U39" s="474">
        <v>307</v>
      </c>
      <c r="V39" s="493">
        <f t="shared" si="26"/>
        <v>0</v>
      </c>
      <c r="W39" s="488">
        <f>SUMIFS(Nozzle!$I$1:$I73,Nozzle!$A$1:$A$73,"C66BJS",Nozzle!$B$1:$B$73,"307",Nozzle!$F$1:$F$73,"ESEL",Nozzle!$H$1:$H$73,"STK",Nozzle!$G$1:$G$73,"additional")</f>
        <v>0</v>
      </c>
      <c r="X39" s="488">
        <f>SUMIFS(Nozzle!$O$74:$O$146,Nozzle!$A$74:$A$146,"C66BJS",Nozzle!$B$74:$B$146,"307",Nozzle!$F$74:$F$146,"ESEL",Nozzle!$G$74:$G$146,"additional")</f>
        <v>0</v>
      </c>
      <c r="Y39" s="489">
        <f>SUMIFS(Nozzle!$I$1:$I73,Nozzle!$A$1:$A$73,"C66BJS",Nozzle!$B$1:$B$73,"307",Nozzle!$F$1:$F$73,"ESEL",Nozzle!$H$1:$H$73,"Incoming",Nozzle!$G$1:$G$73,"additional")</f>
        <v>0</v>
      </c>
      <c r="Z39" s="489">
        <f>SUMIFS(Nozzle!$I$1:$I73,Nozzle!$A$1:$A$73,"C66BJS",Nozzle!$B$1:$B$73,"307",Nozzle!$F$1:$F$73,"ESEL",Nozzle!$H$1:$H$73,"TBA",Nozzle!$G$1:$G$73,"additional")</f>
        <v>0</v>
      </c>
      <c r="AA39" s="490">
        <f>SUMIFS(Nozzle!$P$74:$P$146,Nozzle!$A$74:$A$146,"C66BJS",Nozzle!$B$74:$B$146,"307",Nozzle!$F$74:$F$146,"ESEL")</f>
        <v>0</v>
      </c>
      <c r="AB39" s="491">
        <v>0</v>
      </c>
      <c r="AC39" s="492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7.399999999999999">
      <c r="A40" s="474">
        <v>309</v>
      </c>
      <c r="B40" s="493">
        <f t="shared" si="23"/>
        <v>0</v>
      </c>
      <c r="C40" s="488">
        <f>SUMIFS(Nozzle!$I$1:$I73,Nozzle!$A$1:$A$73,"C66SZX",Nozzle!$B$1:$B$73,"309",Nozzle!$F$1:$F$73,"ESEL",Nozzle!$H$1:$H$73,"STK",Nozzle!$G$1:$G$73,"additional")</f>
        <v>0</v>
      </c>
      <c r="D40" s="488">
        <f>SUMIFS(Nozzle!$O$74:$O$146,Nozzle!$A$74:$A$146,"C66SZX",Nozzle!$B$74:$B$146,"309",Nozzle!$F$74:$F$146,"ESEL",Nozzle!$G$74:$G$146,"additional")</f>
        <v>0</v>
      </c>
      <c r="E40" s="489">
        <f>SUMIFS(Nozzle!$I$1:$I73,Nozzle!$A$1:$A$73,"C66SZX",Nozzle!$B$1:$B$73,"309",Nozzle!$F$1:$F$73,"ESEL",Nozzle!$H$1:$H$73,"Incoming",Nozzle!$G$1:$G$73,"additional")</f>
        <v>0</v>
      </c>
      <c r="F40" s="489">
        <f>SUMIFS(Nozzle!$I$1:$I73,Nozzle!$A$1:$A$73,"C66SZX",Nozzle!$B$1:$B$73,"309",Nozzle!$F$1:$F$73,"ESEL",Nozzle!$H$1:$H$73,"TBA",Nozzle!$G$1:$G$73,"additional")</f>
        <v>0</v>
      </c>
      <c r="G40" s="490">
        <f>SUMIFS(Nozzle!$P$74:$P$146,Nozzle!$A$74:$A$146,"C66SZX",Nozzle!$B$74:$B$146,"309",Nozzle!$F$74:$F$146,"ESEL")</f>
        <v>0</v>
      </c>
      <c r="H40" s="491">
        <v>0</v>
      </c>
      <c r="I40" s="492">
        <f t="shared" si="24"/>
        <v>0</v>
      </c>
      <c r="K40" s="474">
        <v>309</v>
      </c>
      <c r="L40" s="493">
        <f t="shared" si="25"/>
        <v>0</v>
      </c>
      <c r="M40" s="488">
        <f>SUMIFS(Nozzle!$I$1:$I73,Nozzle!$A$1:$A$73,"C66SHA",Nozzle!$B$1:$B$73,"309",Nozzle!$F$1:$F$73,"ESEL",Nozzle!$H$1:$H$73,"STK",Nozzle!$G$1:$G$73,"additional")</f>
        <v>0</v>
      </c>
      <c r="N40" s="488">
        <f>SUMIFS(Nozzle!$O$74:$O$146,Nozzle!$A$74:$A$146,"C66SHA",Nozzle!$B$74:$B$146,"309",Nozzle!$F$74:$F$146,"ESEL",Nozzle!$G$74:$G$146,"additional")</f>
        <v>0</v>
      </c>
      <c r="O40" s="489">
        <f>SUMIFS(Nozzle!$I$1:$I73,Nozzle!$A$1:$A$73,"C66SHA",Nozzle!$B$1:$B$73,"309",Nozzle!$F$1:$F$73,"ESEL",Nozzle!$H$1:$H$73,"Incoming",Nozzle!$G$1:$G$73,"additional")</f>
        <v>0</v>
      </c>
      <c r="P40" s="489">
        <f>SUMIFS(Nozzle!$I$1:$I73,Nozzle!$A$1:$A$73,"C66SHA",Nozzle!$B$1:$B$73,"309",Nozzle!$F$1:$F$73,"ESEL",Nozzle!$H$1:$H$73,"TBA",Nozzle!$G$1:$G$73,"additional")</f>
        <v>0</v>
      </c>
      <c r="Q40" s="490">
        <f>SUMIFS(Nozzle!$P$74:$P$146,Nozzle!$A$74:$A$146,"C66SHA",Nozzle!$B$74:$B$146,"309",Nozzle!$F$74:$F$146,"ESEL")</f>
        <v>0</v>
      </c>
      <c r="R40" s="491">
        <v>0</v>
      </c>
      <c r="S40" s="492">
        <f t="shared" si="22"/>
        <v>0</v>
      </c>
      <c r="T40" s="18"/>
      <c r="U40" s="474">
        <v>309</v>
      </c>
      <c r="V40" s="493">
        <f t="shared" si="26"/>
        <v>0</v>
      </c>
      <c r="W40" s="488">
        <f>SUMIFS(Nozzle!$I$1:$I73,Nozzle!$A$1:$A$73,"C66BJS",Nozzle!$B$1:$B$73,"309",Nozzle!$F$1:$F$73,"ESEL",Nozzle!$H$1:$H$73,"STK",Nozzle!$G$1:$G$73,"additional")</f>
        <v>0</v>
      </c>
      <c r="X40" s="488">
        <f>SUMIFS(Nozzle!$O$74:$O$146,Nozzle!$A$74:$A$146,"C66BJS",Nozzle!$B$74:$B$146,"309",Nozzle!$F$74:$F$146,"ESEL",Nozzle!$G$74:$G$146,"additional")</f>
        <v>0</v>
      </c>
      <c r="Y40" s="489">
        <f>SUMIFS(Nozzle!$I$1:$I73,Nozzle!$A$1:$A$73,"C66BJS",Nozzle!$B$1:$B$73,"309",Nozzle!$F$1:$F$73,"ESEL",Nozzle!$H$1:$H$73,"Incoming",Nozzle!$G$1:$G$73,"additional")</f>
        <v>0</v>
      </c>
      <c r="Z40" s="489">
        <f>SUMIFS(Nozzle!$I$1:$I73,Nozzle!$A$1:$A$73,"C66BJS",Nozzle!$B$1:$B$73,"309",Nozzle!$F$1:$F$73,"ESEL",Nozzle!$H$1:$H$73,"TBA",Nozzle!$G$1:$G$73,"additional")</f>
        <v>0</v>
      </c>
      <c r="AA40" s="490">
        <f>SUMIFS(Nozzle!$P$74:$P$146,Nozzle!$A$74:$A$146,"C66BJS",Nozzle!$B$74:$B$146,"309",Nozzle!$F$74:$F$146,"ESEL")</f>
        <v>0</v>
      </c>
      <c r="AB40" s="491">
        <v>0</v>
      </c>
      <c r="AC40" s="492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7.399999999999999">
      <c r="A41" s="474">
        <v>310</v>
      </c>
      <c r="B41" s="493">
        <f t="shared" si="23"/>
        <v>0</v>
      </c>
      <c r="C41" s="488">
        <f>SUMIFS(Nozzle!$I$1:$I73,Nozzle!$A$1:$A$73,"C66SZX",Nozzle!$B$1:$B$73,"310",Nozzle!$F$1:$F$73,"ESEL",Nozzle!$H$1:$H$73,"STK",Nozzle!$G$1:$G$73,"additional")</f>
        <v>0</v>
      </c>
      <c r="D41" s="488">
        <f>SUMIFS(Nozzle!$O$74:$O$146,Nozzle!$A$74:$A$146,"C66SZX",Nozzle!$B$74:$B$146,"310",Nozzle!$F$74:$F$146,"ESEL",Nozzle!$G$74:$G$146,"additional")</f>
        <v>0</v>
      </c>
      <c r="E41" s="489">
        <f>SUMIFS(Nozzle!$I$1:$I73,Nozzle!$A$1:$A$73,"C66SZX",Nozzle!$B$1:$B$73,"310",Nozzle!$F$1:$F$73,"ESEL",Nozzle!$H$1:$H$73,"Incoming",Nozzle!$G$1:$G$73,"additional")</f>
        <v>0</v>
      </c>
      <c r="F41" s="489">
        <f>SUMIFS(Nozzle!$I$1:$I73,Nozzle!$A$1:$A$73,"C66SZX",Nozzle!$B$1:$B$73,"310",Nozzle!$F$1:$F$73,"ESEL",Nozzle!$H$1:$H$73,"TBA",Nozzle!$G$1:$G$73,"additional")</f>
        <v>0</v>
      </c>
      <c r="G41" s="490">
        <f>SUMIFS(Nozzle!$P$74:$P$146,Nozzle!$A$74:$A$146,"C66SZX",Nozzle!$B$74:$B$146,"310",Nozzle!$F$74:$F$146,"ESEL")</f>
        <v>0</v>
      </c>
      <c r="H41" s="491">
        <v>0</v>
      </c>
      <c r="I41" s="492">
        <f t="shared" si="24"/>
        <v>0</v>
      </c>
      <c r="K41" s="474">
        <v>310</v>
      </c>
      <c r="L41" s="493">
        <f t="shared" si="25"/>
        <v>0</v>
      </c>
      <c r="M41" s="488">
        <f>SUMIFS(Nozzle!$I$1:$I73,Nozzle!$A$1:$A$73,"C66SHA",Nozzle!$B$1:$B$73,"310",Nozzle!$F$1:$F$73,"ESEL",Nozzle!$H$1:$H$73,"STK",Nozzle!$G$1:$G$73,"additional")</f>
        <v>0</v>
      </c>
      <c r="N41" s="488">
        <f>SUMIFS(Nozzle!$O$74:$O$146,Nozzle!$A$74:$A$146,"C66SHA",Nozzle!$B$74:$B$146,"310",Nozzle!$F$74:$F$146,"ESEL",Nozzle!$G$74:$G$146,"additional")</f>
        <v>0</v>
      </c>
      <c r="O41" s="489">
        <f>SUMIFS(Nozzle!$I$1:$I73,Nozzle!$A$1:$A$73,"C66SHA",Nozzle!$B$1:$B$73,"310",Nozzle!$F$1:$F$73,"ESEL",Nozzle!$H$1:$H$73,"Incoming",Nozzle!$G$1:$G$73,"additional")</f>
        <v>0</v>
      </c>
      <c r="P41" s="489">
        <f>SUMIFS(Nozzle!$I$1:$I73,Nozzle!$A$1:$A$73,"C66SHA",Nozzle!$B$1:$B$73,"310",Nozzle!$F$1:$F$73,"ESEL",Nozzle!$H$1:$H$73,"TBA",Nozzle!$G$1:$G$73,"additional")</f>
        <v>0</v>
      </c>
      <c r="Q41" s="490">
        <f>SUMIFS(Nozzle!$P$74:$P$146,Nozzle!$A$74:$A$146,"C66SHA",Nozzle!$B$74:$B$146,"310",Nozzle!$F$74:$F$146,"ESEL")</f>
        <v>0</v>
      </c>
      <c r="R41" s="491">
        <v>0</v>
      </c>
      <c r="S41" s="492">
        <f t="shared" si="22"/>
        <v>0</v>
      </c>
      <c r="T41" s="18"/>
      <c r="U41" s="474">
        <v>310</v>
      </c>
      <c r="V41" s="493">
        <f t="shared" si="26"/>
        <v>0</v>
      </c>
      <c r="W41" s="488">
        <f>SUMIFS(Nozzle!$I$1:$I73,Nozzle!$A$1:$A$73,"C66BJS",Nozzle!$B$1:$B$73,"310",Nozzle!$F$1:$F$73,"ESEL",Nozzle!$H$1:$H$73,"STK",Nozzle!$G$1:$G$73,"additional")</f>
        <v>0</v>
      </c>
      <c r="X41" s="488">
        <f>SUMIFS(Nozzle!$O$74:$O$146,Nozzle!$A$74:$A$146,"C66BJS",Nozzle!$B$74:$B$146,"310",Nozzle!$F$74:$F$146,"ESEL",Nozzle!$G$74:$G$146,"additional")</f>
        <v>0</v>
      </c>
      <c r="Y41" s="489">
        <f>SUMIFS(Nozzle!$I$1:$I73,Nozzle!$A$1:$A$73,"C66BJS",Nozzle!$B$1:$B$73,"310",Nozzle!$F$1:$F$73,"ESEL",Nozzle!$H$1:$H$73,"Incoming",Nozzle!$G$1:$G$73,"additional")</f>
        <v>0</v>
      </c>
      <c r="Z41" s="489">
        <f>SUMIFS(Nozzle!$I$1:$I73,Nozzle!$A$1:$A$73,"C66BJS",Nozzle!$B$1:$B$73,"310",Nozzle!$F$1:$F$73,"ESEL",Nozzle!$H$1:$H$73,"TBA",Nozzle!$G$1:$G$73,"additional")</f>
        <v>0</v>
      </c>
      <c r="AA41" s="490">
        <f>SUMIFS(Nozzle!$P$74:$P$146,Nozzle!$A$74:$A$146,"C66BJS",Nozzle!$B$74:$B$146,"310",Nozzle!$F$74:$F$146,"ESEL")</f>
        <v>0</v>
      </c>
      <c r="AB41" s="491">
        <v>0</v>
      </c>
      <c r="AC41" s="492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7.399999999999999">
      <c r="A42" s="474">
        <v>311</v>
      </c>
      <c r="B42" s="493">
        <f t="shared" si="23"/>
        <v>-10</v>
      </c>
      <c r="C42" s="488">
        <f>SUMIFS(Nozzle!$I$1:$I73,Nozzle!$A$1:$A$73,"C66SZX",Nozzle!$B$1:$B$73,"311",Nozzle!$F$1:$F$73,"ESEL",Nozzle!$H$1:$H$73,"STK",Nozzle!$G$1:$G$73,"additional")</f>
        <v>0</v>
      </c>
      <c r="D42" s="488">
        <f>SUMIFS(Nozzle!$O$74:$O$146,Nozzle!$A$74:$A$146,"C66SZX",Nozzle!$B$74:$B$146,"311",Nozzle!$F$74:$F$146,"ESEL",Nozzle!$G$74:$G$146,"additional")</f>
        <v>10</v>
      </c>
      <c r="E42" s="489">
        <f>SUMIFS(Nozzle!$I$1:$I73,Nozzle!$A$1:$A$73,"C66SZX",Nozzle!$B$1:$B$73,"311",Nozzle!$F$1:$F$73,"ESEL",Nozzle!$H$1:$H$73,"Incoming",Nozzle!$G$1:$G$73,"additional")</f>
        <v>0</v>
      </c>
      <c r="F42" s="489">
        <f>SUMIFS(Nozzle!$I$1:$I73,Nozzle!$A$1:$A$73,"C66SZX",Nozzle!$B$1:$B$73,"311",Nozzle!$F$1:$F$73,"ESEL",Nozzle!$H$1:$H$73,"TBA",Nozzle!$G$1:$G$73,"additional")</f>
        <v>0</v>
      </c>
      <c r="G42" s="490">
        <f>SUMIFS(Nozzle!$P$74:$P$146,Nozzle!$A$74:$A$146,"C66SZX",Nozzle!$B$74:$B$146,"311",Nozzle!$F$74:$F$146,"ESEL")</f>
        <v>0</v>
      </c>
      <c r="H42" s="491">
        <v>10</v>
      </c>
      <c r="I42" s="492">
        <f t="shared" si="24"/>
        <v>-20</v>
      </c>
      <c r="K42" s="474">
        <v>311</v>
      </c>
      <c r="L42" s="493">
        <f t="shared" si="25"/>
        <v>0</v>
      </c>
      <c r="M42" s="488">
        <f>SUMIFS(Nozzle!$I$1:$I73,Nozzle!$A$1:$A$73,"C66SHA",Nozzle!$B$1:$B$73,"311",Nozzle!$F$1:$F$73,"ESEL",Nozzle!$H$1:$H$73,"STK",Nozzle!$G$1:$G$73,"additional")</f>
        <v>0</v>
      </c>
      <c r="N42" s="488">
        <f>SUMIFS(Nozzle!$O$74:$O$146,Nozzle!$A$74:$A$146,"C66SHA",Nozzle!$B$74:$B$146,"311",Nozzle!$F$74:$F$146,"ESEL",Nozzle!$G$74:$G$146,"additional")</f>
        <v>0</v>
      </c>
      <c r="O42" s="489">
        <f>SUMIFS(Nozzle!$I$1:$I73,Nozzle!$A$1:$A$73,"C66SHA",Nozzle!$B$1:$B$73,"311",Nozzle!$F$1:$F$73,"ESEL",Nozzle!$H$1:$H$73,"Incoming",Nozzle!$G$1:$G$73,"additional")</f>
        <v>0</v>
      </c>
      <c r="P42" s="489">
        <f>SUMIFS(Nozzle!$I$1:$I73,Nozzle!$A$1:$A$73,"C66SHA",Nozzle!$B$1:$B$73,"311",Nozzle!$F$1:$F$73,"ESEL",Nozzle!$H$1:$H$73,"TBA",Nozzle!$G$1:$G$73,"additional")</f>
        <v>0</v>
      </c>
      <c r="Q42" s="490">
        <f>SUMIFS(Nozzle!$P$74:$P$146,Nozzle!$A$74:$A$146,"C66SHA",Nozzle!$B$74:$B$146,"311",Nozzle!$F$74:$F$146,"ESEL")</f>
        <v>0</v>
      </c>
      <c r="R42" s="491">
        <v>0</v>
      </c>
      <c r="S42" s="492">
        <f t="shared" si="22"/>
        <v>0</v>
      </c>
      <c r="T42" s="18"/>
      <c r="U42" s="474">
        <v>311</v>
      </c>
      <c r="V42" s="493">
        <f t="shared" si="26"/>
        <v>0</v>
      </c>
      <c r="W42" s="488">
        <f>SUMIFS(Nozzle!$I$1:$I73,Nozzle!$A$1:$A$73,"C66BJS",Nozzle!$B$1:$B$73,"311",Nozzle!$F$1:$F$73,"ESEL",Nozzle!$H$1:$H$73,"STK",Nozzle!$G$1:$G$73,"additional")</f>
        <v>0</v>
      </c>
      <c r="X42" s="488">
        <f>SUMIFS(Nozzle!$O$74:$O$146,Nozzle!$A$74:$A$146,"C66BJS",Nozzle!$B$74:$B$146,"311",Nozzle!$F$74:$F$146,"ESEL",Nozzle!$G$74:$G$146,"additional")</f>
        <v>0</v>
      </c>
      <c r="Y42" s="489">
        <f>SUMIFS(Nozzle!$I$1:$I73,Nozzle!$A$1:$A$73,"C66BJS",Nozzle!$B$1:$B$73,"311",Nozzle!$F$1:$F$73,"ESEL",Nozzle!$H$1:$H$73,"Incoming",Nozzle!$G$1:$G$73,"additional")</f>
        <v>0</v>
      </c>
      <c r="Z42" s="489">
        <f>SUMIFS(Nozzle!$I$1:$I73,Nozzle!$A$1:$A$73,"C66BJS",Nozzle!$B$1:$B$73,"311",Nozzle!$F$1:$F$73,"ESEL",Nozzle!$H$1:$H$73,"TBA",Nozzle!$G$1:$G$73,"additional")</f>
        <v>0</v>
      </c>
      <c r="AA42" s="490">
        <f>SUMIFS(Nozzle!$P$74:$P$146,Nozzle!$A$74:$A$146,"C66BJS",Nozzle!$B$74:$B$146,"311",Nozzle!$F$74:$F$146,"ESEL")</f>
        <v>0</v>
      </c>
      <c r="AB42" s="491">
        <v>0</v>
      </c>
      <c r="AC42" s="492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7.399999999999999">
      <c r="A43" s="474">
        <v>312</v>
      </c>
      <c r="B43" s="493">
        <f t="shared" si="23"/>
        <v>0</v>
      </c>
      <c r="C43" s="488">
        <f>SUMIFS(Nozzle!$I$1:$I73,Nozzle!$A$1:$A$73,"C66SZX",Nozzle!$B$1:$B$73,"312",Nozzle!$F$1:$F$73,"ESEL",Nozzle!$H$1:$H$73,"STK",Nozzle!$G$1:$G$73,"additional")</f>
        <v>0</v>
      </c>
      <c r="D43" s="488">
        <f>SUMIFS(Nozzle!$O$74:$O$146,Nozzle!$A$74:$A$146,"C66SZX",Nozzle!$B$74:$B$146,"312",Nozzle!$F$74:$F$146,"ESEL",Nozzle!$G$74:$G$146,"additional")</f>
        <v>0</v>
      </c>
      <c r="E43" s="489">
        <f>SUMIFS(Nozzle!$I$1:$I73,Nozzle!$A$1:$A$73,"C66SZX",Nozzle!$B$1:$B$73,"312",Nozzle!$F$1:$F$73,"ESEL",Nozzle!$H$1:$H$73,"Incoming",Nozzle!$G$1:$G$73,"additional")</f>
        <v>0</v>
      </c>
      <c r="F43" s="489">
        <f>SUMIFS(Nozzle!$I$1:$I73,Nozzle!$A$1:$A$73,"C66SZX",Nozzle!$B$1:$B$73,"312",Nozzle!$F$1:$F$73,"ESEL",Nozzle!$H$1:$H$73,"TBA",Nozzle!$G$1:$G$73,"additional")</f>
        <v>0</v>
      </c>
      <c r="G43" s="490">
        <f>SUMIFS(Nozzle!$P$74:$P$146,Nozzle!$A$74:$A$146,"C66SZX",Nozzle!$B$74:$B$146,"312",Nozzle!$F$74:$F$146,"ESEL")</f>
        <v>0</v>
      </c>
      <c r="H43" s="491">
        <v>10</v>
      </c>
      <c r="I43" s="492">
        <f t="shared" si="24"/>
        <v>-10</v>
      </c>
      <c r="K43" s="474">
        <v>312</v>
      </c>
      <c r="L43" s="493">
        <f t="shared" si="25"/>
        <v>0</v>
      </c>
      <c r="M43" s="488">
        <f>SUMIFS(Nozzle!$I$1:$I73,Nozzle!$A$1:$A$73,"C66SHA",Nozzle!$B$1:$B$73,"312",Nozzle!$F$1:$F$73,"ESEL",Nozzle!$H$1:$H$73,"STK",Nozzle!$G$1:$G$73,"additional")</f>
        <v>0</v>
      </c>
      <c r="N43" s="488">
        <f>SUMIFS(Nozzle!$O$74:$O$146,Nozzle!$A$74:$A$146,"C66SHA",Nozzle!$B$74:$B$146,"312",Nozzle!$F$74:$F$146,"ESEL",Nozzle!$G$74:$G$146,"additional")</f>
        <v>0</v>
      </c>
      <c r="O43" s="489">
        <f>SUMIFS(Nozzle!$I$1:$I73,Nozzle!$A$1:$A$73,"C66SHA",Nozzle!$B$1:$B$73,"312",Nozzle!$F$1:$F$73,"ESEL",Nozzle!$H$1:$H$73,"Incoming",Nozzle!$G$1:$G$73,"additional")</f>
        <v>0</v>
      </c>
      <c r="P43" s="489">
        <f>SUMIFS(Nozzle!$I$1:$I73,Nozzle!$A$1:$A$73,"C66SHA",Nozzle!$B$1:$B$73,"312",Nozzle!$F$1:$F$73,"ESEL",Nozzle!$H$1:$H$73,"TBA",Nozzle!$G$1:$G$73,"additional")</f>
        <v>0</v>
      </c>
      <c r="Q43" s="490">
        <f>SUMIFS(Nozzle!$P$74:$P$146,Nozzle!$A$74:$A$146,"C66SHA",Nozzle!$B$74:$B$146,"312",Nozzle!$F$74:$F$146,"ESEL")</f>
        <v>0</v>
      </c>
      <c r="R43" s="491">
        <v>0</v>
      </c>
      <c r="S43" s="492">
        <f t="shared" si="22"/>
        <v>0</v>
      </c>
      <c r="T43" s="18"/>
      <c r="U43" s="474">
        <v>312</v>
      </c>
      <c r="V43" s="493">
        <f t="shared" si="26"/>
        <v>0</v>
      </c>
      <c r="W43" s="488">
        <f>SUMIFS(Nozzle!$I$1:$I73,Nozzle!$A$1:$A$73,"C66BJS",Nozzle!$B$1:$B$73,"312",Nozzle!$F$1:$F$73,"ESEL",Nozzle!$H$1:$H$73,"STK",Nozzle!$G$1:$G$73,"additional")</f>
        <v>0</v>
      </c>
      <c r="X43" s="488">
        <f>SUMIFS(Nozzle!$O$74:$O$146,Nozzle!$A$74:$A$146,"C66BJS",Nozzle!$B$74:$B$146,"312",Nozzle!$F$74:$F$146,"ESEL",Nozzle!$G$74:$G$146,"additional")</f>
        <v>0</v>
      </c>
      <c r="Y43" s="489">
        <f>SUMIFS(Nozzle!$I$1:$I73,Nozzle!$A$1:$A$73,"C66BJS",Nozzle!$B$1:$B$73,"312",Nozzle!$F$1:$F$73,"ESEL",Nozzle!$H$1:$H$73,"Incoming",Nozzle!$G$1:$G$73,"additional")</f>
        <v>0</v>
      </c>
      <c r="Z43" s="489">
        <f>SUMIFS(Nozzle!$I$1:$I73,Nozzle!$A$1:$A$73,"C66BJS",Nozzle!$B$1:$B$73,"312",Nozzle!$F$1:$F$73,"ESEL",Nozzle!$H$1:$H$73,"TBA",Nozzle!$G$1:$G$73,"additional")</f>
        <v>0</v>
      </c>
      <c r="AA43" s="490">
        <f>SUMIFS(Nozzle!$P$74:$P$146,Nozzle!$A$74:$A$146,"C66BJS",Nozzle!$B$74:$B$146,"312",Nozzle!$F$74:$F$146,"ESEL")</f>
        <v>0</v>
      </c>
      <c r="AB43" s="491">
        <v>0</v>
      </c>
      <c r="AC43" s="492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7.399999999999999">
      <c r="A44" s="474">
        <v>313</v>
      </c>
      <c r="B44" s="493">
        <f t="shared" si="23"/>
        <v>0</v>
      </c>
      <c r="C44" s="488">
        <f>SUMIFS(Nozzle!$I$1:$I73,Nozzle!$A$1:$A$73,"C66SZX",Nozzle!$B$1:$B$73,"313",Nozzle!$F$1:$F$73,"ESEL",Nozzle!$H$1:$H$73,"STK",Nozzle!$G$1:$G$73,"additional")</f>
        <v>0</v>
      </c>
      <c r="D44" s="488">
        <f>SUMIFS(Nozzle!$O$74:$O$146,Nozzle!$A$74:$A$146,"C66SZX",Nozzle!$B$74:$B$146,"313",Nozzle!$F$74:$F$146,"ESEL",Nozzle!$G$74:$G$146,"additional")</f>
        <v>0</v>
      </c>
      <c r="E44" s="489">
        <f>SUMIFS(Nozzle!$I$1:$I73,Nozzle!$A$1:$A$73,"C66SZX",Nozzle!$B$1:$B$73,"313",Nozzle!$F$1:$F$73,"ESEL",Nozzle!$H$1:$H$73,"Incoming",Nozzle!$G$1:$G$73,"additional")</f>
        <v>0</v>
      </c>
      <c r="F44" s="489">
        <f>SUMIFS(Nozzle!$I$1:$I73,Nozzle!$A$1:$A$73,"C66SZX",Nozzle!$B$1:$B$73,"313",Nozzle!$F$1:$F$73,"ESEL",Nozzle!$H$1:$H$73,"TBA",Nozzle!$G$1:$G$73,"additional")</f>
        <v>0</v>
      </c>
      <c r="G44" s="490">
        <f>SUMIFS(Nozzle!$P$74:$P$146,Nozzle!$A$74:$A$146,"C66SZX",Nozzle!$B$74:$B$146,"313",Nozzle!$F$74:$F$146,"ESEL")</f>
        <v>0</v>
      </c>
      <c r="H44" s="491">
        <v>5</v>
      </c>
      <c r="I44" s="492">
        <f t="shared" si="24"/>
        <v>-5</v>
      </c>
      <c r="K44" s="474">
        <v>313</v>
      </c>
      <c r="L44" s="493">
        <f t="shared" si="25"/>
        <v>0</v>
      </c>
      <c r="M44" s="488">
        <f>SUMIFS(Nozzle!$I$1:$I73,Nozzle!$A$1:$A$73,"C66SHA",Nozzle!$B$1:$B$73,"313",Nozzle!$F$1:$F$73,"ESEL",Nozzle!$H$1:$H$73,"STK",Nozzle!$G$1:$G$73,"additional")</f>
        <v>0</v>
      </c>
      <c r="N44" s="488">
        <f>SUMIFS(Nozzle!$O$74:$O$146,Nozzle!$A$74:$A$146,"C66SHA",Nozzle!$B$74:$B$146,"313",Nozzle!$F$74:$F$146,"ESEL",Nozzle!$G$74:$G$146,"additional")</f>
        <v>0</v>
      </c>
      <c r="O44" s="489">
        <f>SUMIFS(Nozzle!$I$1:$I73,Nozzle!$A$1:$A$73,"C66SHA",Nozzle!$B$1:$B$73,"313",Nozzle!$F$1:$F$73,"ESEL",Nozzle!$H$1:$H$73,"Incoming",Nozzle!$G$1:$G$73,"additional")</f>
        <v>0</v>
      </c>
      <c r="P44" s="489">
        <f>SUMIFS(Nozzle!$I$1:$I73,Nozzle!$A$1:$A$73,"C66SHA",Nozzle!$B$1:$B$73,"313",Nozzle!$F$1:$F$73,"ESEL",Nozzle!$H$1:$H$73,"TBA",Nozzle!$G$1:$G$73,"additional")</f>
        <v>0</v>
      </c>
      <c r="Q44" s="490">
        <f>SUMIFS(Nozzle!$P$74:$P$146,Nozzle!$A$74:$A$146,"C66SHA",Nozzle!$B$74:$B$146,"313",Nozzle!$F$74:$F$146,"ESEL")</f>
        <v>0</v>
      </c>
      <c r="R44" s="491">
        <v>0</v>
      </c>
      <c r="S44" s="492">
        <f t="shared" si="22"/>
        <v>0</v>
      </c>
      <c r="T44" s="18"/>
      <c r="U44" s="474">
        <v>313</v>
      </c>
      <c r="V44" s="493">
        <f t="shared" si="26"/>
        <v>0</v>
      </c>
      <c r="W44" s="488">
        <f>SUMIFS(Nozzle!$I$1:$I73,Nozzle!$A$1:$A$73,"C66BJS",Nozzle!$B$1:$B$73,"313",Nozzle!$F$1:$F$73,"ESEL",Nozzle!$H$1:$H$73,"STK",Nozzle!$G$1:$G$73,"additional")</f>
        <v>0</v>
      </c>
      <c r="X44" s="488">
        <f>SUMIFS(Nozzle!$O$74:$O$146,Nozzle!$A$74:$A$146,"C66BJS",Nozzle!$B$74:$B$146,"313",Nozzle!$F$74:$F$146,"ESEL",Nozzle!$G$74:$G$146,"additional")</f>
        <v>0</v>
      </c>
      <c r="Y44" s="489">
        <f>SUMIFS(Nozzle!$I$1:$I73,Nozzle!$A$1:$A$73,"C66BJS",Nozzle!$B$1:$B$73,"313",Nozzle!$F$1:$F$73,"ESEL",Nozzle!$H$1:$H$73,"Incoming",Nozzle!$G$1:$G$73,"additional")</f>
        <v>0</v>
      </c>
      <c r="Z44" s="489">
        <f>SUMIFS(Nozzle!$I$1:$I73,Nozzle!$A$1:$A$73,"C66BJS",Nozzle!$B$1:$B$73,"313",Nozzle!$F$1:$F$73,"ESEL",Nozzle!$H$1:$H$73,"TBA",Nozzle!$G$1:$G$73,"additional")</f>
        <v>0</v>
      </c>
      <c r="AA44" s="490">
        <f>SUMIFS(Nozzle!$P$74:$P$146,Nozzle!$A$74:$A$146,"C66BJS",Nozzle!$B$74:$B$146,"313",Nozzle!$F$74:$F$146,"ESEL")</f>
        <v>0</v>
      </c>
      <c r="AB44" s="491">
        <v>0</v>
      </c>
      <c r="AC44" s="492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7.399999999999999">
      <c r="A45" s="474">
        <v>7202</v>
      </c>
      <c r="B45" s="493">
        <f t="shared" si="23"/>
        <v>0</v>
      </c>
      <c r="C45" s="488">
        <f>SUMIFS(Nozzle!$I$1:$I73,Nozzle!$A$1:$A$73,"C66SZX",Nozzle!$B$1:$B$73,"7202",Nozzle!$F$1:$F$73,"ESEL",Nozzle!$H$1:$H$73,"STK",Nozzle!$G$1:$G$73,"additional")</f>
        <v>0</v>
      </c>
      <c r="D45" s="488">
        <f>SUMIFS(Nozzle!$O$74:$O$146,Nozzle!$A$74:$A$146,"C66SZX",Nozzle!$B$74:$B$146,"7202",Nozzle!$F$74:$F$146,"ESEL",Nozzle!$G$74:$G$146,"additional")</f>
        <v>0</v>
      </c>
      <c r="E45" s="489">
        <f>SUMIFS(Nozzle!$I$1:$I73,Nozzle!$A$1:$A$73,"C66SZX",Nozzle!$B$1:$B$73,"7202",Nozzle!$F$1:$F$73,"ESEL",Nozzle!$H$1:$H$73,"Incoming",Nozzle!$G$1:$G$73,"additional")</f>
        <v>0</v>
      </c>
      <c r="F45" s="489">
        <f>SUMIFS(Nozzle!$I$1:$I73,Nozzle!$A$1:$A$73,"C66SZX",Nozzle!$B$1:$B$73,"7202",Nozzle!$F$1:$F$73,"ESEL",Nozzle!$H$1:$H$73,"TBA",Nozzle!$G$1:$G$73,"additional")</f>
        <v>0</v>
      </c>
      <c r="G45" s="490">
        <f>SUMIFS(Nozzle!$P$74:$P$146,Nozzle!$A$74:$A$146,"C66SZX",Nozzle!$B$74:$B$146,"7202",Nozzle!$F$74:$F$146,"ESEL")</f>
        <v>0</v>
      </c>
      <c r="H45" s="491">
        <v>0</v>
      </c>
      <c r="I45" s="492">
        <f t="shared" si="24"/>
        <v>0</v>
      </c>
      <c r="K45" s="474">
        <v>7202</v>
      </c>
      <c r="L45" s="493">
        <f t="shared" si="25"/>
        <v>0</v>
      </c>
      <c r="M45" s="488">
        <f>SUMIFS(Nozzle!$I$1:$I73,Nozzle!$A$1:$A$73,"C66SHA",Nozzle!$B$1:$B$73,"7202",Nozzle!$F$1:$F$73,"ESEL",Nozzle!$H$1:$H$73,"STK",Nozzle!$G$1:$G$73,"additional")</f>
        <v>0</v>
      </c>
      <c r="N45" s="488">
        <f>SUMIFS(Nozzle!$O$74:$O$146,Nozzle!$A$74:$A$146,"C66SHA",Nozzle!$B$74:$B$146,"7202",Nozzle!$F$74:$F$146,"ESEL",Nozzle!$G$74:$G$146,"additional")</f>
        <v>0</v>
      </c>
      <c r="O45" s="489">
        <f>SUMIFS(Nozzle!$I$1:$I73,Nozzle!$A$1:$A$73,"C66SHA",Nozzle!$B$1:$B$73,"7202",Nozzle!$F$1:$F$73,"ESEL",Nozzle!$H$1:$H$73,"Incoming",Nozzle!$G$1:$G$73,"additional")</f>
        <v>0</v>
      </c>
      <c r="P45" s="489">
        <f>SUMIFS(Nozzle!$I$1:$I73,Nozzle!$A$1:$A$73,"C66SHA",Nozzle!$B$1:$B$73,"7202",Nozzle!$F$1:$F$73,"ESEL",Nozzle!$H$1:$H$73,"TBA",Nozzle!$G$1:$G$73,"additional")</f>
        <v>0</v>
      </c>
      <c r="Q45" s="490">
        <f>SUMIFS(Nozzle!$P$74:$P$146,Nozzle!$A$74:$A$146,"C66SHA",Nozzle!$B$74:$B$146,"7202",Nozzle!$F$74:$F$146,"ESEL")</f>
        <v>0</v>
      </c>
      <c r="R45" s="491">
        <v>0</v>
      </c>
      <c r="S45" s="492">
        <f t="shared" si="22"/>
        <v>0</v>
      </c>
      <c r="T45" s="18"/>
      <c r="U45" s="474">
        <v>7202</v>
      </c>
      <c r="V45" s="493">
        <f t="shared" si="26"/>
        <v>0</v>
      </c>
      <c r="W45" s="488">
        <f>SUMIFS(Nozzle!$I$1:$I73,Nozzle!$A$1:$A$73,"C66BJS",Nozzle!$B$1:$B$73,"7202",Nozzle!$F$1:$F$73,"ESEL",Nozzle!$H$1:$H$73,"STK",Nozzle!$G$1:$G$73,"additional")</f>
        <v>0</v>
      </c>
      <c r="X45" s="488">
        <f>SUMIFS(Nozzle!$O$74:$O$146,Nozzle!$A$74:$A$146,"C66BJS",Nozzle!$B$74:$B$146,"7202",Nozzle!$F$74:$F$146,"ESEL",Nozzle!$G$74:$G$146,"additional")</f>
        <v>0</v>
      </c>
      <c r="Y45" s="489">
        <f>SUMIFS(Nozzle!$I$1:$I73,Nozzle!$A$1:$A$73,"C66BJS",Nozzle!$B$1:$B$73,"7202",Nozzle!$F$1:$F$73,"ESEL",Nozzle!$H$1:$H$73,"Incoming",Nozzle!$G$1:$G$73,"additional")</f>
        <v>0</v>
      </c>
      <c r="Z45" s="489">
        <f>SUMIFS(Nozzle!$I$1:$I73,Nozzle!$A$1:$A$73,"C66BJS",Nozzle!$B$1:$B$73,"7202",Nozzle!$F$1:$F$73,"ESEL",Nozzle!$H$1:$H$73,"TBA",Nozzle!$G$1:$G$73,"additional")</f>
        <v>0</v>
      </c>
      <c r="AA45" s="490">
        <f>SUMIFS(Nozzle!$P$74:$P$146,Nozzle!$A$74:$A$146,"C66BJS",Nozzle!$B$74:$B$146,"7202",Nozzle!$F$74:$F$146,"ESEL")</f>
        <v>0</v>
      </c>
      <c r="AB45" s="491">
        <v>0</v>
      </c>
      <c r="AC45" s="492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7.399999999999999">
      <c r="A46" s="474">
        <v>7203</v>
      </c>
      <c r="B46" s="493">
        <f t="shared" si="23"/>
        <v>0</v>
      </c>
      <c r="C46" s="488">
        <f>SUMIFS(Nozzle!$I$1:$I73,Nozzle!$A$1:$A$73,"C66SZX",Nozzle!$B$1:$B$73,"7203",Nozzle!$F$1:$F$73,"ESEL",Nozzle!$H$1:$H$73,"STK",Nozzle!$G$1:$G$73,"additional")</f>
        <v>0</v>
      </c>
      <c r="D46" s="488">
        <f>SUMIFS(Nozzle!$O$74:$O$146,Nozzle!$A$74:$A$146,"C66SZX",Nozzle!$B$74:$B$146,"7203",Nozzle!$F$74:$F$146,"ESEL",Nozzle!$G$74:$G$146,"additional")</f>
        <v>0</v>
      </c>
      <c r="E46" s="489">
        <f>SUMIFS(Nozzle!$I$1:$I73,Nozzle!$A$1:$A$73,"C66SZX",Nozzle!$B$1:$B$73,"7203",Nozzle!$F$1:$F$73,"ESEL",Nozzle!$H$1:$H$73,"Incoming",Nozzle!$G$1:$G$73,"additional")</f>
        <v>0</v>
      </c>
      <c r="F46" s="489">
        <f>SUMIFS(Nozzle!$I$1:$I73,Nozzle!$A$1:$A$73,"C66SZX",Nozzle!$B$1:$B$73,"7203",Nozzle!$F$1:$F$73,"ESEL",Nozzle!$H$1:$H$73,"TBA",Nozzle!$G$1:$G$73,"additional")</f>
        <v>0</v>
      </c>
      <c r="G46" s="490">
        <f>SUMIFS(Nozzle!$P$74:$P$146,Nozzle!$A$74:$A$146,"C66SZX",Nozzle!$B$74:$B$146,"7203",Nozzle!$F$74:$F$146,"ESEL")</f>
        <v>0</v>
      </c>
      <c r="H46" s="491">
        <v>0</v>
      </c>
      <c r="I46" s="492">
        <f t="shared" si="24"/>
        <v>0</v>
      </c>
      <c r="K46" s="474">
        <v>7203</v>
      </c>
      <c r="L46" s="493">
        <f t="shared" si="25"/>
        <v>0</v>
      </c>
      <c r="M46" s="488">
        <f>SUMIFS(Nozzle!$I$1:$I73,Nozzle!$A$1:$A$73,"C66SHA",Nozzle!$B$1:$B$73,"7203",Nozzle!$F$1:$F$73,"ESEL",Nozzle!$H$1:$H$73,"STK",Nozzle!$G$1:$G$73,"additional")</f>
        <v>0</v>
      </c>
      <c r="N46" s="488">
        <f>SUMIFS(Nozzle!$O$74:$O$146,Nozzle!$A$74:$A$146,"C66SHA",Nozzle!$B$74:$B$146,"7203",Nozzle!$F$74:$F$146,"ESEL",Nozzle!$G$74:$G$146,"additional")</f>
        <v>0</v>
      </c>
      <c r="O46" s="489">
        <f>SUMIFS(Nozzle!$I$1:$I73,Nozzle!$A$1:$A$73,"C66SHA",Nozzle!$B$1:$B$73,"7203",Nozzle!$F$1:$F$73,"ESEL",Nozzle!$H$1:$H$73,"Incoming",Nozzle!$G$1:$G$73,"additional")</f>
        <v>0</v>
      </c>
      <c r="P46" s="489">
        <f>SUMIFS(Nozzle!$I$1:$I73,Nozzle!$A$1:$A$73,"C66SHA",Nozzle!$B$1:$B$73,"7203",Nozzle!$F$1:$F$73,"ESEL",Nozzle!$H$1:$H$73,"TBA",Nozzle!$G$1:$G$73,"additional")</f>
        <v>0</v>
      </c>
      <c r="Q46" s="490">
        <f>SUMIFS(Nozzle!$P$74:$P$146,Nozzle!$A$74:$A$146,"C66SHA",Nozzle!$B$74:$B$146,"7203",Nozzle!$F$74:$F$146,"ESEL")</f>
        <v>0</v>
      </c>
      <c r="R46" s="491">
        <v>0</v>
      </c>
      <c r="S46" s="492">
        <f t="shared" si="22"/>
        <v>0</v>
      </c>
      <c r="T46" s="18"/>
      <c r="U46" s="474">
        <v>7203</v>
      </c>
      <c r="V46" s="493">
        <f t="shared" si="26"/>
        <v>0</v>
      </c>
      <c r="W46" s="488">
        <f>SUMIFS(Nozzle!$I$1:$I73,Nozzle!$A$1:$A$73,"C66BJS",Nozzle!$B$1:$B$73,"7203",Nozzle!$F$1:$F$73,"ESEL",Nozzle!$H$1:$H$73,"STK",Nozzle!$G$1:$G$73,"additional")</f>
        <v>0</v>
      </c>
      <c r="X46" s="488">
        <f>SUMIFS(Nozzle!$O$74:$O$146,Nozzle!$A$74:$A$146,"C66BJS",Nozzle!$B$74:$B$146,"7203",Nozzle!$F$74:$F$146,"ESEL",Nozzle!$G$74:$G$146,"additional")</f>
        <v>0</v>
      </c>
      <c r="Y46" s="489">
        <f>SUMIFS(Nozzle!$I$1:$I73,Nozzle!$A$1:$A$73,"C66BJS",Nozzle!$B$1:$B$73,"7203",Nozzle!$F$1:$F$73,"ESEL",Nozzle!$H$1:$H$73,"Incoming",Nozzle!$G$1:$G$73,"additional")</f>
        <v>0</v>
      </c>
      <c r="Z46" s="489">
        <f>SUMIFS(Nozzle!$I$1:$I73,Nozzle!$A$1:$A$73,"C66BJS",Nozzle!$B$1:$B$73,"7203",Nozzle!$F$1:$F$73,"ESEL",Nozzle!$H$1:$H$73,"TBA",Nozzle!$G$1:$G$73,"additional")</f>
        <v>0</v>
      </c>
      <c r="AA46" s="490">
        <f>SUMIFS(Nozzle!$P$74:$P$146,Nozzle!$A$74:$A$146,"C66BJS",Nozzle!$B$74:$B$146,"7203",Nozzle!$F$74:$F$146,"ESEL")</f>
        <v>0</v>
      </c>
      <c r="AB46" s="491">
        <v>0</v>
      </c>
      <c r="AC46" s="492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7.399999999999999">
      <c r="A47" s="474">
        <v>7204</v>
      </c>
      <c r="B47" s="493">
        <f t="shared" si="23"/>
        <v>0</v>
      </c>
      <c r="C47" s="488">
        <f>SUMIFS(Nozzle!$I$1:$I73,Nozzle!$A$1:$A$73,"C66SZX",Nozzle!$B$1:$B$73,"7204",Nozzle!$F$1:$F$73,"ESEL",Nozzle!$H$1:$H$73,"STK",Nozzle!$G$1:$G$73,"additional")</f>
        <v>0</v>
      </c>
      <c r="D47" s="488">
        <f>SUMIFS(Nozzle!$O$74:$O$146,Nozzle!$A$74:$A$146,"C66SZX",Nozzle!$B$74:$B$146,"7204",Nozzle!$F$74:$F$146,"ESEL",Nozzle!$G$74:$G$146,"additional")</f>
        <v>0</v>
      </c>
      <c r="E47" s="489">
        <f>SUMIFS(Nozzle!$I$1:$I73,Nozzle!$A$1:$A$73,"C66SZX",Nozzle!$B$1:$B$73,"7204",Nozzle!$F$1:$F$73,"ESEL",Nozzle!$H$1:$H$73,"Incoming",Nozzle!$G$1:$G$73,"additional")</f>
        <v>0</v>
      </c>
      <c r="F47" s="489">
        <f>SUMIFS(Nozzle!$I$1:$I73,Nozzle!$A$1:$A$73,"C66SZX",Nozzle!$B$1:$B$73,"7204",Nozzle!$F$1:$F$73,"ESEL",Nozzle!$H$1:$H$73,"TBA",Nozzle!$G$1:$G$73,"additional")</f>
        <v>0</v>
      </c>
      <c r="G47" s="490">
        <f>SUMIFS(Nozzle!$P$74:$P$146,Nozzle!$A$74:$A$146,"C66SZX",Nozzle!$B$74:$B$146,"7204",Nozzle!$F$74:$F$146,"ESEL")</f>
        <v>0</v>
      </c>
      <c r="H47" s="491">
        <v>0</v>
      </c>
      <c r="I47" s="492">
        <f t="shared" si="24"/>
        <v>0</v>
      </c>
      <c r="K47" s="474">
        <v>7204</v>
      </c>
      <c r="L47" s="493">
        <f t="shared" si="25"/>
        <v>0</v>
      </c>
      <c r="M47" s="488">
        <f>SUMIFS(Nozzle!$I$1:$I73,Nozzle!$A$1:$A$73,"C66SHA",Nozzle!$B$1:$B$73,"7204",Nozzle!$F$1:$F$73,"ESEL",Nozzle!$H$1:$H$73,"STK",Nozzle!$G$1:$G$73,"additional")</f>
        <v>0</v>
      </c>
      <c r="N47" s="488">
        <f>SUMIFS(Nozzle!$O$74:$O$146,Nozzle!$A$74:$A$146,"C66SHA",Nozzle!$B$74:$B$146,"7204",Nozzle!$F$74:$F$146,"ESEL",Nozzle!$G$74:$G$146,"additional")</f>
        <v>0</v>
      </c>
      <c r="O47" s="489">
        <f>SUMIFS(Nozzle!$I$1:$I73,Nozzle!$A$1:$A$73,"C66SHA",Nozzle!$B$1:$B$73,"7204",Nozzle!$F$1:$F$73,"ESEL",Nozzle!$H$1:$H$73,"Incoming",Nozzle!$G$1:$G$73,"additional")</f>
        <v>0</v>
      </c>
      <c r="P47" s="489">
        <f>SUMIFS(Nozzle!$I$1:$I73,Nozzle!$A$1:$A$73,"C66SHA",Nozzle!$B$1:$B$73,"7204",Nozzle!$F$1:$F$73,"ESEL",Nozzle!$H$1:$H$73,"TBA",Nozzle!$G$1:$G$73,"additional")</f>
        <v>0</v>
      </c>
      <c r="Q47" s="490">
        <f>SUMIFS(Nozzle!$P$74:$P$146,Nozzle!$A$74:$A$146,"C66SHA",Nozzle!$B$74:$B$146,"7204",Nozzle!$F$74:$F$146,"ESEL")</f>
        <v>0</v>
      </c>
      <c r="R47" s="491">
        <v>0</v>
      </c>
      <c r="S47" s="492">
        <f t="shared" si="22"/>
        <v>0</v>
      </c>
      <c r="T47" s="18"/>
      <c r="U47" s="474">
        <v>7204</v>
      </c>
      <c r="V47" s="493">
        <f t="shared" si="26"/>
        <v>0</v>
      </c>
      <c r="W47" s="488">
        <f>SUMIFS(Nozzle!$I$1:$I73,Nozzle!$A$1:$A$73,"C66BJS",Nozzle!$B$1:$B$73,"7204",Nozzle!$F$1:$F$73,"ESEL",Nozzle!$H$1:$H$73,"STK",Nozzle!$G$1:$G$73,"additional")</f>
        <v>0</v>
      </c>
      <c r="X47" s="488">
        <f>SUMIFS(Nozzle!$O$74:$O$146,Nozzle!$A$74:$A$146,"C66BJS",Nozzle!$B$74:$B$146,"7204",Nozzle!$F$74:$F$146,"ESEL",Nozzle!$G$74:$G$146,"additional")</f>
        <v>0</v>
      </c>
      <c r="Y47" s="489">
        <f>SUMIFS(Nozzle!$I$1:$I73,Nozzle!$A$1:$A$73,"C66BJS",Nozzle!$B$1:$B$73,"7204",Nozzle!$F$1:$F$73,"ESEL",Nozzle!$H$1:$H$73,"Incoming",Nozzle!$G$1:$G$73,"additional")</f>
        <v>0</v>
      </c>
      <c r="Z47" s="489">
        <f>SUMIFS(Nozzle!$I$1:$I73,Nozzle!$A$1:$A$73,"C66BJS",Nozzle!$B$1:$B$73,"7204",Nozzle!$F$1:$F$73,"ESEL",Nozzle!$H$1:$H$73,"TBA",Nozzle!$G$1:$G$73,"additional")</f>
        <v>0</v>
      </c>
      <c r="AA47" s="490">
        <f>SUMIFS(Nozzle!$P$74:$P$146,Nozzle!$A$74:$A$146,"C66BJS",Nozzle!$B$74:$B$146,"7204",Nozzle!$F$74:$F$146,"ESEL")</f>
        <v>0</v>
      </c>
      <c r="AB47" s="491">
        <v>0</v>
      </c>
      <c r="AC47" s="492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7.399999999999999">
      <c r="A48" s="474">
        <v>7205</v>
      </c>
      <c r="B48" s="493">
        <f t="shared" si="23"/>
        <v>0</v>
      </c>
      <c r="C48" s="488">
        <f>SUMIFS(Nozzle!$I$1:$I73,Nozzle!$A$1:$A$73,"C66SZX",Nozzle!$B$1:$B$73,"7205",Nozzle!$F$1:$F$73,"ESEL",Nozzle!$H$1:$H$73,"STK",Nozzle!$G$1:$G$73,"additional")</f>
        <v>0</v>
      </c>
      <c r="D48" s="488">
        <f>SUMIFS(Nozzle!$O$74:$O$146,Nozzle!$A$74:$A$146,"C66SZX",Nozzle!$B$74:$B$146,"7205",Nozzle!$F$74:$F$146,"ESEL",Nozzle!$G$74:$G$146,"additional")</f>
        <v>0</v>
      </c>
      <c r="E48" s="489">
        <f>SUMIFS(Nozzle!$I$1:$I73,Nozzle!$A$1:$A$73,"C66SZX",Nozzle!$B$1:$B$73,"7205",Nozzle!$F$1:$F$73,"ESEL",Nozzle!$H$1:$H$73,"Incoming",Nozzle!$G$1:$G$73,"additional")</f>
        <v>0</v>
      </c>
      <c r="F48" s="489">
        <f>SUMIFS(Nozzle!$I$1:$I73,Nozzle!$A$1:$A$73,"C66SZX",Nozzle!$B$1:$B$73,"7205",Nozzle!$F$1:$F$73,"ESEL",Nozzle!$H$1:$H$73,"TBA",Nozzle!$G$1:$G$73,"additional")</f>
        <v>0</v>
      </c>
      <c r="G48" s="490">
        <f>SUMIFS(Nozzle!$P$74:$P$146,Nozzle!$A$74:$A$146,"C66SZX",Nozzle!$B$74:$B$146,"7205",Nozzle!$F$74:$F$146,"ESEL")</f>
        <v>0</v>
      </c>
      <c r="H48" s="491">
        <v>0</v>
      </c>
      <c r="I48" s="492">
        <f t="shared" si="24"/>
        <v>0</v>
      </c>
      <c r="K48" s="474">
        <v>7205</v>
      </c>
      <c r="L48" s="493">
        <f t="shared" si="25"/>
        <v>0</v>
      </c>
      <c r="M48" s="488">
        <f>SUMIFS(Nozzle!$I$1:$I73,Nozzle!$A$1:$A$73,"C66SHA",Nozzle!$B$1:$B$73,"7205",Nozzle!$F$1:$F$73,"ESEL",Nozzle!$H$1:$H$73,"STK",Nozzle!$G$1:$G$73,"additional")</f>
        <v>0</v>
      </c>
      <c r="N48" s="488">
        <f>SUMIFS(Nozzle!$O$74:$O$146,Nozzle!$A$74:$A$146,"C66SHA",Nozzle!$B$74:$B$146,"7205",Nozzle!$F$74:$F$146,"ESEL",Nozzle!$G$74:$G$146,"additional")</f>
        <v>0</v>
      </c>
      <c r="O48" s="489">
        <f>SUMIFS(Nozzle!$I$1:$I73,Nozzle!$A$1:$A$73,"C66SHA",Nozzle!$B$1:$B$73,"7205",Nozzle!$F$1:$F$73,"ESEL",Nozzle!$H$1:$H$73,"Incoming",Nozzle!$G$1:$G$73,"additional")</f>
        <v>0</v>
      </c>
      <c r="P48" s="489">
        <f>SUMIFS(Nozzle!$I$1:$I73,Nozzle!$A$1:$A$73,"C66SHA",Nozzle!$B$1:$B$73,"7205",Nozzle!$F$1:$F$73,"ESEL",Nozzle!$H$1:$H$73,"TBA",Nozzle!$G$1:$G$73,"additional")</f>
        <v>0</v>
      </c>
      <c r="Q48" s="490">
        <f>SUMIFS(Nozzle!$P$74:$P$146,Nozzle!$A$74:$A$146,"C66SHA",Nozzle!$B$74:$B$146,"7205",Nozzle!$F$74:$F$146,"ESEL")</f>
        <v>0</v>
      </c>
      <c r="R48" s="491">
        <v>0</v>
      </c>
      <c r="S48" s="492">
        <f t="shared" si="22"/>
        <v>0</v>
      </c>
      <c r="T48" s="18"/>
      <c r="U48" s="474">
        <v>7205</v>
      </c>
      <c r="V48" s="493">
        <f t="shared" si="26"/>
        <v>0</v>
      </c>
      <c r="W48" s="488">
        <f>SUMIFS(Nozzle!$I$1:$I73,Nozzle!$A$1:$A$73,"C66BJS",Nozzle!$B$1:$B$73,"7205",Nozzle!$F$1:$F$73,"ESEL",Nozzle!$H$1:$H$73,"STK",Nozzle!$G$1:$G$73,"additional")</f>
        <v>0</v>
      </c>
      <c r="X48" s="488">
        <f>SUMIFS(Nozzle!$O$74:$O$146,Nozzle!$A$74:$A$146,"C66BJS",Nozzle!$B$74:$B$146,"7205",Nozzle!$F$74:$F$146,"ESEL",Nozzle!$G$74:$G$146,"additional")</f>
        <v>0</v>
      </c>
      <c r="Y48" s="489">
        <f>SUMIFS(Nozzle!$I$1:$I73,Nozzle!$A$1:$A$73,"C66BJS",Nozzle!$B$1:$B$73,"7205",Nozzle!$F$1:$F$73,"ESEL",Nozzle!$H$1:$H$73,"Incoming",Nozzle!$G$1:$G$73,"additional")</f>
        <v>0</v>
      </c>
      <c r="Z48" s="489">
        <f>SUMIFS(Nozzle!$I$1:$I73,Nozzle!$A$1:$A$73,"C66BJS",Nozzle!$B$1:$B$73,"7205",Nozzle!$F$1:$F$73,"ESEL",Nozzle!$H$1:$H$73,"TBA",Nozzle!$G$1:$G$73,"additional")</f>
        <v>0</v>
      </c>
      <c r="AA48" s="490">
        <f>SUMIFS(Nozzle!$P$74:$P$146,Nozzle!$A$74:$A$146,"C66BJS",Nozzle!$B$74:$B$146,"7205",Nozzle!$F$74:$F$146,"ESEL")</f>
        <v>0</v>
      </c>
      <c r="AB48" s="491">
        <v>0</v>
      </c>
      <c r="AC48" s="492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7.399999999999999">
      <c r="A49" s="474">
        <v>7206</v>
      </c>
      <c r="B49" s="493">
        <f t="shared" si="23"/>
        <v>0</v>
      </c>
      <c r="C49" s="488">
        <f>SUMIFS(Nozzle!$I$1:$I73,Nozzle!$A$1:$A$73,"C66SZX",Nozzle!$B$1:$B$73,"7206",Nozzle!$F$1:$F$73,"ESEL",Nozzle!$H$1:$H$73,"STK",Nozzle!$G$1:$G$73,"additional")</f>
        <v>0</v>
      </c>
      <c r="D49" s="488">
        <f>SUMIFS(Nozzle!$O$74:$O$146,Nozzle!$A$74:$A$146,"C66SZX",Nozzle!$B$74:$B$146,"7206",Nozzle!$F$74:$F$146,"ESEL",Nozzle!$G$74:$G$146,"additional")</f>
        <v>0</v>
      </c>
      <c r="E49" s="489">
        <f>SUMIFS(Nozzle!$I$1:$I73,Nozzle!$A$1:$A$73,"C66SZX",Nozzle!$B$1:$B$73,"7206",Nozzle!$F$1:$F$73,"ESEL",Nozzle!$H$1:$H$73,"Incoming",Nozzle!$G$1:$G$73,"additional")</f>
        <v>0</v>
      </c>
      <c r="F49" s="489">
        <f>SUMIFS(Nozzle!$I$1:$I73,Nozzle!$A$1:$A$73,"C66SZX",Nozzle!$B$1:$B$73,"7206",Nozzle!$F$1:$F$73,"ESEL",Nozzle!$H$1:$H$73,"TBA",Nozzle!$G$1:$G$73,"additional")</f>
        <v>0</v>
      </c>
      <c r="G49" s="490">
        <f>SUMIFS(Nozzle!$P$74:$P$146,Nozzle!$A$74:$A$146,"C66SZX",Nozzle!$B$74:$B$146,"7206",Nozzle!$F$74:$F$146,"ESEL")</f>
        <v>0</v>
      </c>
      <c r="H49" s="491">
        <v>0</v>
      </c>
      <c r="I49" s="492">
        <f t="shared" si="24"/>
        <v>0</v>
      </c>
      <c r="K49" s="474">
        <v>7206</v>
      </c>
      <c r="L49" s="493">
        <f t="shared" si="25"/>
        <v>0</v>
      </c>
      <c r="M49" s="488">
        <f>SUMIFS(Nozzle!$I$1:$I73,Nozzle!$A$1:$A$73,"C66SHA",Nozzle!$B$1:$B$73,"7206",Nozzle!$F$1:$F$73,"ESEL",Nozzle!$H$1:$H$73,"STK",Nozzle!$G$1:$G$73,"additional")</f>
        <v>0</v>
      </c>
      <c r="N49" s="488">
        <f>SUMIFS(Nozzle!$O$74:$O$146,Nozzle!$A$74:$A$146,"C66SHA",Nozzle!$B$74:$B$146,"7206",Nozzle!$F$74:$F$146,"ESEL",Nozzle!$G$74:$G$146,"additional")</f>
        <v>0</v>
      </c>
      <c r="O49" s="489">
        <f>SUMIFS(Nozzle!$I$1:$I73,Nozzle!$A$1:$A$73,"C66SHA",Nozzle!$B$1:$B$73,"7206",Nozzle!$F$1:$F$73,"ESEL",Nozzle!$H$1:$H$73,"Incoming",Nozzle!$G$1:$G$73,"additional")</f>
        <v>0</v>
      </c>
      <c r="P49" s="489">
        <f>SUMIFS(Nozzle!$I$1:$I73,Nozzle!$A$1:$A$73,"C66SHA",Nozzle!$B$1:$B$73,"7206",Nozzle!$F$1:$F$73,"ESEL",Nozzle!$H$1:$H$73,"TBA",Nozzle!$G$1:$G$73,"additional")</f>
        <v>0</v>
      </c>
      <c r="Q49" s="490">
        <f>SUMIFS(Nozzle!$P$74:$P$146,Nozzle!$A$74:$A$146,"C66SHA",Nozzle!$B$74:$B$146,"7206",Nozzle!$F$74:$F$146,"ESEL")</f>
        <v>0</v>
      </c>
      <c r="R49" s="491">
        <v>0</v>
      </c>
      <c r="S49" s="492">
        <f t="shared" si="22"/>
        <v>0</v>
      </c>
      <c r="T49" s="18"/>
      <c r="U49" s="474">
        <v>7206</v>
      </c>
      <c r="V49" s="493">
        <f t="shared" si="26"/>
        <v>0</v>
      </c>
      <c r="W49" s="488">
        <f>SUMIFS(Nozzle!$I$1:$I73,Nozzle!$A$1:$A$73,"C66BJS",Nozzle!$B$1:$B$73,"7206",Nozzle!$F$1:$F$73,"ESEL",Nozzle!$H$1:$H$73,"STK",Nozzle!$G$1:$G$73,"additional")</f>
        <v>0</v>
      </c>
      <c r="X49" s="488">
        <f>SUMIFS(Nozzle!$O$74:$O$146,Nozzle!$A$74:$A$146,"C66BJS",Nozzle!$B$74:$B$146,"7206",Nozzle!$F$74:$F$146,"ESEL",Nozzle!$G$74:$G$146,"additional")</f>
        <v>0</v>
      </c>
      <c r="Y49" s="489">
        <f>SUMIFS(Nozzle!$I$1:$I73,Nozzle!$A$1:$A$73,"C66BJS",Nozzle!$B$1:$B$73,"7206",Nozzle!$F$1:$F$73,"ESEL",Nozzle!$H$1:$H$73,"Incoming",Nozzle!$G$1:$G$73,"additional")</f>
        <v>0</v>
      </c>
      <c r="Z49" s="489">
        <f>SUMIFS(Nozzle!$I$1:$I73,Nozzle!$A$1:$A$73,"C66BJS",Nozzle!$B$1:$B$73,"7206",Nozzle!$F$1:$F$73,"ESEL",Nozzle!$H$1:$H$73,"TBA",Nozzle!$G$1:$G$73,"additional")</f>
        <v>0</v>
      </c>
      <c r="AA49" s="490">
        <f>SUMIFS(Nozzle!$P$74:$P$146,Nozzle!$A$74:$A$146,"C66BJS",Nozzle!$B$74:$B$146,"7206",Nozzle!$F$74:$F$146,"ESEL")</f>
        <v>0</v>
      </c>
      <c r="AB49" s="491">
        <v>0</v>
      </c>
      <c r="AC49" s="492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7.399999999999999">
      <c r="A50" s="474" t="s">
        <v>1498</v>
      </c>
      <c r="B50" s="493">
        <f t="shared" si="23"/>
        <v>0</v>
      </c>
      <c r="C50" s="488">
        <f>SUMIFS(Nozzle!$I$1:$I73,Nozzle!$A$1:$A$73,"C66SZX",Nozzle!$B$1:$B$73,"72GC",Nozzle!$F$1:$F$73,"ESEL",Nozzle!$H$1:$H$73,"STK",Nozzle!$G$1:$G$73,"additional")</f>
        <v>0</v>
      </c>
      <c r="D50" s="488">
        <f>SUMIFS(Nozzle!$O$74:$O$146,Nozzle!$A$74:$A$146,"C66SZX",Nozzle!$B$74:$B$146,"72GC",Nozzle!$F$74:$F$146,"ESEL",Nozzle!$G$74:$G$146,"additional")</f>
        <v>0</v>
      </c>
      <c r="E50" s="489">
        <f>SUMIFS(Nozzle!$I$1:$I73,Nozzle!$A$1:$A$73,"C66SZX",Nozzle!$B$1:$B$73,"72GC",Nozzle!$F$1:$F$73,"ESEL",Nozzle!$H$1:$H$73,"Incoming",Nozzle!$G$1:$G$73,"additional")</f>
        <v>0</v>
      </c>
      <c r="F50" s="489">
        <f>SUMIFS(Nozzle!$I$1:$I73,Nozzle!$A$1:$A$73,"C66SZX",Nozzle!$B$1:$B$73,"72GC",Nozzle!$F$1:$F$73,"ESEL",Nozzle!$H$1:$H$73,"TBA",Nozzle!$G$1:$G$73,"additional")</f>
        <v>0</v>
      </c>
      <c r="G50" s="490">
        <f>SUMIFS(Nozzle!$P$74:$P$146,Nozzle!$A$74:$A$146,"C66SZX",Nozzle!$B$74:$B$146,"72GC",Nozzle!$F$74:$F$146,"ESEL")</f>
        <v>0</v>
      </c>
      <c r="H50" s="491">
        <v>0</v>
      </c>
      <c r="I50" s="492">
        <f t="shared" si="24"/>
        <v>0</v>
      </c>
      <c r="K50" s="474" t="s">
        <v>1498</v>
      </c>
      <c r="L50" s="493">
        <f t="shared" si="25"/>
        <v>0</v>
      </c>
      <c r="M50" s="488">
        <f>SUMIFS(Nozzle!$I$1:$I73,Nozzle!$A$1:$A$73,"C66SHA",Nozzle!$B$1:$B$73,"72GC",Nozzle!$F$1:$F$73,"ESEL",Nozzle!$H$1:$H$73,"STK",Nozzle!$G$1:$G$73,"additional")</f>
        <v>0</v>
      </c>
      <c r="N50" s="488">
        <f>SUMIFS(Nozzle!$O$74:$O$146,Nozzle!$A$74:$A$146,"C66SHA",Nozzle!$B$74:$B$146,"72GC",Nozzle!$F$74:$F$146,"ESEL",Nozzle!$G$74:$G$146,"additional")</f>
        <v>0</v>
      </c>
      <c r="O50" s="489">
        <f>SUMIFS(Nozzle!$I$1:$I73,Nozzle!$A$1:$A$73,"C66SHA",Nozzle!$B$1:$B$73,"72GC",Nozzle!$F$1:$F$73,"ESEL",Nozzle!$H$1:$H$73,"Incoming",Nozzle!$G$1:$G$73,"additional")</f>
        <v>0</v>
      </c>
      <c r="P50" s="489">
        <f>SUMIFS(Nozzle!$I$1:$I73,Nozzle!$A$1:$A$73,"C66SHA",Nozzle!$B$1:$B$73,"72GC",Nozzle!$F$1:$F$73,"ESEL",Nozzle!$H$1:$H$73,"TBA",Nozzle!$G$1:$G$73,"additional")</f>
        <v>0</v>
      </c>
      <c r="Q50" s="490">
        <f>SUMIFS(Nozzle!$P$74:$P$146,Nozzle!$A$74:$A$146,"C66SHA",Nozzle!$B$74:$B$146,"72GC",Nozzle!$F$74:$F$146,"ESEL")</f>
        <v>0</v>
      </c>
      <c r="R50" s="491">
        <v>0</v>
      </c>
      <c r="S50" s="492">
        <f t="shared" si="22"/>
        <v>0</v>
      </c>
      <c r="T50" s="1"/>
      <c r="U50" s="474" t="s">
        <v>1498</v>
      </c>
      <c r="V50" s="493">
        <f t="shared" si="26"/>
        <v>0</v>
      </c>
      <c r="W50" s="488">
        <f>SUMIFS(Nozzle!$I$1:$I73,Nozzle!$A$1:$A$73,"C66BJS",Nozzle!$B$1:$B$73,"72GC",Nozzle!$F$1:$F$73,"ESEL",Nozzle!$H$1:$H$73,"STK",Nozzle!$G$1:$G$73,"additional")</f>
        <v>0</v>
      </c>
      <c r="X50" s="488">
        <f>SUMIFS(Nozzle!$O$74:$O$146,Nozzle!$A$74:$A$146,"C66BJS",Nozzle!$B$74:$B$146,"72GC",Nozzle!$F$74:$F$146,"ESEL",Nozzle!$G$74:$G$146,"additional")</f>
        <v>0</v>
      </c>
      <c r="Y50" s="489">
        <f>SUMIFS(Nozzle!$I$1:$I73,Nozzle!$A$1:$A$73,"C66BJS",Nozzle!$B$1:$B$73,"72GC",Nozzle!$F$1:$F$73,"ESEL",Nozzle!$H$1:$H$73,"Incoming",Nozzle!$G$1:$G$73,"additional")</f>
        <v>0</v>
      </c>
      <c r="Z50" s="489">
        <f>SUMIFS(Nozzle!$I$1:$I73,Nozzle!$A$1:$A$73,"C66BJS",Nozzle!$B$1:$B$73,"72GC",Nozzle!$F$1:$F$73,"ESEL",Nozzle!$H$1:$H$73,"TBA",Nozzle!$G$1:$G$73,"additional")</f>
        <v>0</v>
      </c>
      <c r="AA50" s="490">
        <f>SUMIFS(Nozzle!$P$74:$P$146,Nozzle!$A$74:$A$146,"C66BJS",Nozzle!$B$74:$B$146,"72GC",Nozzle!$F$74:$F$146,"ESEL")</f>
        <v>0</v>
      </c>
      <c r="AB50" s="491">
        <v>0</v>
      </c>
      <c r="AC50" s="492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7.399999999999999">
      <c r="A51" s="474" t="s">
        <v>1296</v>
      </c>
      <c r="B51" s="493">
        <f t="shared" si="23"/>
        <v>0</v>
      </c>
      <c r="C51" s="488">
        <f>SUMIFS(Nozzle!$I$1:$I73,Nozzle!$A$1:$A$73,"C66SZX",Nozzle!$B$1:$B$73,"72GD",Nozzle!$F$1:$F$73,"ESEL",Nozzle!$H$1:$H$73,"STK",Nozzle!$G$1:$G$73,"additional")</f>
        <v>0</v>
      </c>
      <c r="D51" s="488">
        <f>SUMIFS(Nozzle!$O$74:$O$146,Nozzle!$A$74:$A$146,"C66SZX",Nozzle!$B$74:$B$146,"72GD",Nozzle!$F$74:$F$146,"ESEL",Nozzle!$G$74:$G$146,"additional")</f>
        <v>0</v>
      </c>
      <c r="E51" s="489">
        <f>SUMIFS(Nozzle!$I$1:$I73,Nozzle!$A$1:$A$73,"C66SZX",Nozzle!$B$1:$B$73,"72GD",Nozzle!$F$1:$F$73,"ESEL",Nozzle!$H$1:$H$73,"Incoming",Nozzle!$G$1:$G$73,"additional")</f>
        <v>0</v>
      </c>
      <c r="F51" s="489">
        <f>SUMIFS(Nozzle!$I$1:$I73,Nozzle!$A$1:$A$73,"C66SZX",Nozzle!$B$1:$B$73,"72GD",Nozzle!$F$1:$F$73,"ESEL",Nozzle!$H$1:$H$73,"TBA",Nozzle!$G$1:$G$73,"additional")</f>
        <v>0</v>
      </c>
      <c r="G51" s="490">
        <f>SUMIFS(Nozzle!$P$74:$P$146,Nozzle!$A$74:$A$146,"C66SZX",Nozzle!$B$74:$B$146,"72GD",Nozzle!$F$74:$F$146,"ESEL")</f>
        <v>0</v>
      </c>
      <c r="H51" s="491">
        <v>0</v>
      </c>
      <c r="I51" s="492">
        <f t="shared" si="24"/>
        <v>0</v>
      </c>
      <c r="K51" s="474" t="s">
        <v>1296</v>
      </c>
      <c r="L51" s="493">
        <f t="shared" si="25"/>
        <v>0</v>
      </c>
      <c r="M51" s="488">
        <f>SUMIFS(Nozzle!$I$1:$I73,Nozzle!$A$1:$A$73,"C66SHA",Nozzle!$B$1:$B$73,"72GD",Nozzle!$F$1:$F$73,"ESEL",Nozzle!$H$1:$H$73,"STK",Nozzle!$G$1:$G$73,"additional")</f>
        <v>0</v>
      </c>
      <c r="N51" s="488">
        <f>SUMIFS(Nozzle!$O$74:$O$146,Nozzle!$A$74:$A$146,"C66SHA",Nozzle!$B$74:$B$146,"72GD",Nozzle!$F$74:$F$146,"ESEL",Nozzle!$G$74:$G$146,"additional")</f>
        <v>0</v>
      </c>
      <c r="O51" s="489">
        <f>SUMIFS(Nozzle!$I$1:$I73,Nozzle!$A$1:$A$73,"C66SHA",Nozzle!$B$1:$B$73,"72GD",Nozzle!$F$1:$F$73,"ESEL",Nozzle!$H$1:$H$73,"Incoming",Nozzle!$G$1:$G$73,"additional")</f>
        <v>0</v>
      </c>
      <c r="P51" s="489">
        <f>SUMIFS(Nozzle!$I$1:$I73,Nozzle!$A$1:$A$73,"C66SHA",Nozzle!$B$1:$B$73,"72GD",Nozzle!$F$1:$F$73,"ESEL",Nozzle!$H$1:$H$73,"TBA",Nozzle!$G$1:$G$73,"additional")</f>
        <v>0</v>
      </c>
      <c r="Q51" s="490">
        <f>SUMIFS(Nozzle!$P$74:$P$146,Nozzle!$A$74:$A$146,"C66SHA",Nozzle!$B$74:$B$146,"72GD",Nozzle!$F$74:$F$146,"ESEL")</f>
        <v>0</v>
      </c>
      <c r="R51" s="491">
        <v>0</v>
      </c>
      <c r="S51" s="492">
        <f t="shared" si="22"/>
        <v>0</v>
      </c>
      <c r="T51" s="1"/>
      <c r="U51" s="474" t="s">
        <v>1296</v>
      </c>
      <c r="V51" s="493">
        <f t="shared" si="26"/>
        <v>0</v>
      </c>
      <c r="W51" s="488">
        <f>SUMIFS(Nozzle!$I$1:$I73,Nozzle!$A$1:$A$73,"C66BJS",Nozzle!$B$1:$B$73,"72GD",Nozzle!$F$1:$F$73,"ESEL",Nozzle!$H$1:$H$73,"STK",Nozzle!$G$1:$G$73,"additional")</f>
        <v>0</v>
      </c>
      <c r="X51" s="488">
        <f>SUMIFS(Nozzle!$O$74:$O$146,Nozzle!$A$74:$A$146,"C66BJS",Nozzle!$B$74:$B$146,"72GD",Nozzle!$F$74:$F$146,"ESEL",Nozzle!$G$74:$G$146,"additional")</f>
        <v>0</v>
      </c>
      <c r="Y51" s="489">
        <f>SUMIFS(Nozzle!$I$1:$I73,Nozzle!$A$1:$A$73,"C66BJS",Nozzle!$B$1:$B$73,"72GD",Nozzle!$F$1:$F$73,"ESEL",Nozzle!$H$1:$H$73,"Incoming",Nozzle!$G$1:$G$73,"additional")</f>
        <v>0</v>
      </c>
      <c r="Z51" s="489">
        <f>SUMIFS(Nozzle!$I$1:$I73,Nozzle!$A$1:$A$73,"C66BJS",Nozzle!$B$1:$B$73,"72GD",Nozzle!$F$1:$F$73,"ESEL",Nozzle!$H$1:$H$73,"TBA",Nozzle!$G$1:$G$73,"additional")</f>
        <v>0</v>
      </c>
      <c r="AA51" s="490">
        <f>SUMIFS(Nozzle!$P$74:$P$146,Nozzle!$A$74:$A$146,"C66BJS",Nozzle!$B$74:$B$146,"72GD",Nozzle!$F$74:$F$146,"ESEL")</f>
        <v>0</v>
      </c>
      <c r="AB51" s="491">
        <v>0</v>
      </c>
      <c r="AC51" s="492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7.399999999999999">
      <c r="A52" s="474"/>
      <c r="B52" s="493"/>
      <c r="C52" s="488"/>
      <c r="D52" s="488"/>
      <c r="E52" s="489"/>
      <c r="F52" s="489"/>
      <c r="G52" s="490"/>
      <c r="H52" s="491"/>
      <c r="I52" s="492"/>
      <c r="K52" s="474"/>
      <c r="L52" s="493"/>
      <c r="M52" s="488"/>
      <c r="N52" s="488"/>
      <c r="O52" s="489"/>
      <c r="P52" s="489"/>
      <c r="Q52" s="490"/>
      <c r="R52" s="491"/>
      <c r="S52" s="492"/>
      <c r="T52" s="1"/>
      <c r="U52" s="474"/>
      <c r="V52" s="493"/>
      <c r="W52" s="488"/>
      <c r="X52" s="488"/>
      <c r="Y52" s="489"/>
      <c r="Z52" s="489"/>
      <c r="AA52" s="490"/>
      <c r="AB52" s="491"/>
      <c r="AC52" s="49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7.399999999999999">
      <c r="A53" s="474"/>
      <c r="B53" s="493"/>
      <c r="C53" s="488"/>
      <c r="D53" s="488"/>
      <c r="E53" s="489"/>
      <c r="F53" s="489"/>
      <c r="G53" s="490"/>
      <c r="H53" s="491"/>
      <c r="I53" s="492"/>
      <c r="K53" s="474"/>
      <c r="L53" s="493"/>
      <c r="M53" s="488"/>
      <c r="N53" s="488"/>
      <c r="O53" s="489"/>
      <c r="P53" s="489"/>
      <c r="Q53" s="490"/>
      <c r="R53" s="491"/>
      <c r="S53" s="492"/>
      <c r="T53" s="1"/>
      <c r="U53" s="474"/>
      <c r="V53" s="493"/>
      <c r="W53" s="488"/>
      <c r="X53" s="488"/>
      <c r="Y53" s="489"/>
      <c r="Z53" s="489"/>
      <c r="AA53" s="490"/>
      <c r="AB53" s="491"/>
      <c r="AC53" s="49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7.399999999999999">
      <c r="A54" s="474"/>
      <c r="B54" s="493"/>
      <c r="C54" s="488"/>
      <c r="D54" s="488"/>
      <c r="E54" s="489"/>
      <c r="F54" s="489"/>
      <c r="G54" s="490"/>
      <c r="H54" s="491"/>
      <c r="I54" s="492"/>
      <c r="K54" s="474"/>
      <c r="L54" s="493"/>
      <c r="M54" s="488"/>
      <c r="N54" s="488"/>
      <c r="O54" s="489"/>
      <c r="P54" s="489"/>
      <c r="Q54" s="490"/>
      <c r="R54" s="491"/>
      <c r="S54" s="492"/>
      <c r="T54" s="1"/>
      <c r="U54" s="474"/>
      <c r="V54" s="493"/>
      <c r="W54" s="488"/>
      <c r="X54" s="488"/>
      <c r="Y54" s="489"/>
      <c r="Z54" s="489"/>
      <c r="AA54" s="490"/>
      <c r="AB54" s="491"/>
      <c r="AC54" s="49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4.4" thickBot="1">
      <c r="B55" s="506">
        <f>SUM(B33:B54)</f>
        <v>-80</v>
      </c>
      <c r="C55" s="506">
        <f>SUM(C33:C54)</f>
        <v>0</v>
      </c>
      <c r="D55" s="506">
        <f>SUM(D33:D54)</f>
        <v>80</v>
      </c>
      <c r="E55" s="471"/>
      <c r="F55" s="471"/>
      <c r="G55" s="506">
        <f>SUM(G33:G54)</f>
        <v>0</v>
      </c>
      <c r="H55" s="471"/>
      <c r="I55" s="471">
        <f>SUM(I33:I51)</f>
        <v>-192</v>
      </c>
      <c r="L55" s="506">
        <f ca="1">SUM(L33:L55)</f>
        <v>0</v>
      </c>
      <c r="M55" s="506">
        <f>SUM(M33:M54)</f>
        <v>0</v>
      </c>
      <c r="N55" s="506">
        <f>SUM(N33:N54)</f>
        <v>9</v>
      </c>
      <c r="O55" s="471"/>
      <c r="P55" s="471"/>
      <c r="Q55" s="506">
        <f>SUM(Q33:Q54)</f>
        <v>0</v>
      </c>
      <c r="R55" s="471"/>
      <c r="S55" s="471">
        <f>SUM(S33:S51)</f>
        <v>-9</v>
      </c>
      <c r="T55" s="18"/>
      <c r="V55" s="506">
        <f>SUM(V33:V54)</f>
        <v>0</v>
      </c>
      <c r="W55" s="506">
        <f>SUM(W33:W54)</f>
        <v>0</v>
      </c>
      <c r="X55" s="506">
        <f>SUM(X33:X54)</f>
        <v>0</v>
      </c>
      <c r="Y55" s="471"/>
      <c r="Z55" s="471"/>
      <c r="AA55" s="506">
        <f>SUM(AA33:AA54)</f>
        <v>0</v>
      </c>
      <c r="AB55" s="471"/>
      <c r="AC55" s="471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4.4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defaultColWidth="9" defaultRowHeight="14.4"/>
  <cols>
    <col min="1" max="1" width="12.44140625" bestFit="1" customWidth="1"/>
    <col min="2" max="2" width="9.21875" bestFit="1" customWidth="1"/>
    <col min="3" max="3" width="13.21875" bestFit="1" customWidth="1"/>
    <col min="4" max="8" width="9.5546875" bestFit="1" customWidth="1"/>
    <col min="9" max="9" width="8.44140625" bestFit="1" customWidth="1"/>
    <col min="10" max="10" width="13.21875" bestFit="1" customWidth="1"/>
    <col min="11" max="13" width="9.5546875" bestFit="1" customWidth="1"/>
    <col min="14" max="14" width="8.44140625" bestFit="1" customWidth="1"/>
    <col min="15" max="16" width="9.5546875" bestFit="1" customWidth="1"/>
    <col min="17" max="17" width="5.44140625" bestFit="1" customWidth="1"/>
    <col min="18" max="18" width="14.44140625" bestFit="1" customWidth="1"/>
    <col min="19" max="19" width="9.21875" bestFit="1" customWidth="1"/>
    <col min="20" max="32" width="14.44140625" bestFit="1" customWidth="1"/>
    <col min="33" max="33" width="15.21875" bestFit="1" customWidth="1"/>
    <col min="34" max="48" width="14.44140625" bestFit="1" customWidth="1"/>
    <col min="49" max="49" width="15.21875" bestFit="1" customWidth="1"/>
    <col min="50" max="64" width="14.44140625" bestFit="1" customWidth="1"/>
    <col min="65" max="65" width="15.21875" bestFit="1" customWidth="1"/>
    <col min="66" max="80" width="14.44140625" bestFit="1" customWidth="1"/>
    <col min="81" max="81" width="15.21875" bestFit="1" customWidth="1"/>
    <col min="82" max="96" width="14.44140625" bestFit="1" customWidth="1"/>
    <col min="97" max="97" width="15.21875" bestFit="1" customWidth="1"/>
    <col min="98" max="112" width="14.44140625" bestFit="1" customWidth="1"/>
    <col min="113" max="113" width="15.21875" bestFit="1" customWidth="1"/>
    <col min="114" max="128" width="14.44140625" bestFit="1" customWidth="1"/>
    <col min="129" max="129" width="15.21875" bestFit="1" customWidth="1"/>
    <col min="130" max="144" width="14.44140625" bestFit="1" customWidth="1"/>
    <col min="145" max="145" width="15.21875" bestFit="1" customWidth="1"/>
    <col min="146" max="160" width="14.44140625" bestFit="1" customWidth="1"/>
    <col min="161" max="161" width="15.21875" bestFit="1" customWidth="1"/>
    <col min="162" max="176" width="14.44140625" bestFit="1" customWidth="1"/>
    <col min="177" max="177" width="15.21875" bestFit="1" customWidth="1"/>
    <col min="178" max="178" width="9.21875" bestFit="1" customWidth="1"/>
  </cols>
  <sheetData>
    <row r="1" spans="1:16">
      <c r="A1" s="262" t="s">
        <v>1535</v>
      </c>
      <c r="B1" t="s">
        <v>1052</v>
      </c>
    </row>
    <row r="3" spans="1:16">
      <c r="A3" s="262" t="s">
        <v>1534</v>
      </c>
      <c r="B3" s="262" t="s">
        <v>3</v>
      </c>
    </row>
    <row r="4" spans="1:16">
      <c r="A4" s="262" t="s">
        <v>1536</v>
      </c>
      <c r="B4" t="s">
        <v>261</v>
      </c>
      <c r="C4" t="s">
        <v>264</v>
      </c>
      <c r="D4" t="s">
        <v>265</v>
      </c>
      <c r="E4" t="s">
        <v>266</v>
      </c>
      <c r="F4" t="s">
        <v>267</v>
      </c>
      <c r="G4" t="s">
        <v>268</v>
      </c>
      <c r="H4" t="s">
        <v>269</v>
      </c>
      <c r="I4" t="s">
        <v>272</v>
      </c>
      <c r="J4" t="s">
        <v>273</v>
      </c>
      <c r="K4" t="s">
        <v>274</v>
      </c>
      <c r="L4" t="s">
        <v>275</v>
      </c>
      <c r="M4" t="s">
        <v>276</v>
      </c>
      <c r="N4" t="s">
        <v>271</v>
      </c>
      <c r="O4" t="s">
        <v>277</v>
      </c>
      <c r="P4" t="s">
        <v>278</v>
      </c>
    </row>
    <row r="5" spans="1:16">
      <c r="A5" t="s">
        <v>149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151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150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157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243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1437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1448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1464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1537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1550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1698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1742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1724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defaultColWidth="9" defaultRowHeight="14.4"/>
  <cols>
    <col min="1" max="2" width="13.21875" style="384" customWidth="1"/>
    <col min="3" max="3" width="11.21875" style="384" customWidth="1"/>
    <col min="4" max="4" width="10.44140625" style="384" customWidth="1"/>
    <col min="5" max="5" width="12.77734375" style="406" customWidth="1"/>
    <col min="6" max="6" width="15.44140625" style="384" bestFit="1" customWidth="1"/>
    <col min="7" max="7" width="9" style="384"/>
    <col min="8" max="8" width="12.44140625" style="384" bestFit="1" customWidth="1"/>
    <col min="9" max="9" width="13.21875" style="384" bestFit="1" customWidth="1"/>
    <col min="10" max="14" width="9.44140625" style="384" bestFit="1" customWidth="1"/>
    <col min="15" max="15" width="8.44140625" style="384" bestFit="1" customWidth="1"/>
    <col min="16" max="16" width="13.21875" style="384" bestFit="1" customWidth="1"/>
    <col min="17" max="19" width="9.44140625" style="384" bestFit="1" customWidth="1"/>
    <col min="20" max="20" width="8.44140625" style="384" bestFit="1" customWidth="1"/>
    <col min="21" max="22" width="9.44140625" style="384" bestFit="1" customWidth="1"/>
    <col min="23" max="23" width="8.44140625" style="384" bestFit="1" customWidth="1"/>
    <col min="24" max="24" width="13.21875" style="384" bestFit="1" customWidth="1"/>
    <col min="25" max="29" width="9.44140625" style="384" bestFit="1" customWidth="1"/>
    <col min="30" max="30" width="8.44140625" style="384" bestFit="1" customWidth="1"/>
    <col min="31" max="31" width="13.21875" style="384" bestFit="1" customWidth="1"/>
    <col min="32" max="34" width="9.44140625" style="384" bestFit="1" customWidth="1"/>
    <col min="35" max="35" width="8.44140625" style="384" bestFit="1" customWidth="1"/>
    <col min="36" max="37" width="9.44140625" style="384" bestFit="1" customWidth="1"/>
    <col min="38" max="38" width="8.44140625" style="384" bestFit="1" customWidth="1"/>
    <col min="39" max="16384" width="9" style="384"/>
  </cols>
  <sheetData>
    <row r="1" spans="1:19" ht="18.75" customHeight="1">
      <c r="A1" s="384" t="s">
        <v>196</v>
      </c>
      <c r="B1" s="384" t="s">
        <v>1477</v>
      </c>
      <c r="C1" s="384" t="s">
        <v>166</v>
      </c>
      <c r="D1" s="384" t="s">
        <v>1474</v>
      </c>
      <c r="E1" s="406" t="s">
        <v>1475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4" t="s">
        <v>227</v>
      </c>
      <c r="B2" s="384" t="s">
        <v>1478</v>
      </c>
      <c r="C2" s="384" t="s">
        <v>261</v>
      </c>
      <c r="D2" s="384">
        <v>3376</v>
      </c>
      <c r="E2" s="406" t="s">
        <v>149</v>
      </c>
      <c r="H2"/>
      <c r="I2"/>
      <c r="J2"/>
      <c r="K2"/>
      <c r="L2"/>
    </row>
    <row r="3" spans="1:19">
      <c r="A3" s="384" t="s">
        <v>227</v>
      </c>
      <c r="B3" s="384" t="s">
        <v>1478</v>
      </c>
      <c r="C3" s="384" t="s">
        <v>264</v>
      </c>
      <c r="D3" s="384">
        <v>640</v>
      </c>
      <c r="E3" s="406" t="s">
        <v>149</v>
      </c>
      <c r="H3"/>
      <c r="I3"/>
      <c r="J3"/>
      <c r="K3"/>
      <c r="L3"/>
    </row>
    <row r="4" spans="1:19">
      <c r="A4" s="384" t="s">
        <v>227</v>
      </c>
      <c r="B4" s="384" t="s">
        <v>1478</v>
      </c>
      <c r="C4" s="384" t="s">
        <v>265</v>
      </c>
      <c r="D4" s="384">
        <v>65</v>
      </c>
      <c r="E4" s="406" t="s">
        <v>149</v>
      </c>
      <c r="H4"/>
      <c r="I4"/>
      <c r="J4"/>
      <c r="K4"/>
      <c r="L4"/>
    </row>
    <row r="5" spans="1:19">
      <c r="A5" s="384" t="s">
        <v>227</v>
      </c>
      <c r="B5" s="384" t="s">
        <v>1478</v>
      </c>
      <c r="C5" s="384" t="s">
        <v>266</v>
      </c>
      <c r="D5" s="384">
        <v>98</v>
      </c>
      <c r="E5" s="406" t="s">
        <v>149</v>
      </c>
      <c r="H5"/>
      <c r="I5"/>
      <c r="J5"/>
      <c r="K5"/>
      <c r="L5"/>
    </row>
    <row r="6" spans="1:19">
      <c r="A6" s="384" t="s">
        <v>227</v>
      </c>
      <c r="B6" s="384" t="s">
        <v>1478</v>
      </c>
      <c r="C6" s="384" t="s">
        <v>267</v>
      </c>
      <c r="D6" s="384">
        <v>17</v>
      </c>
      <c r="E6" s="406" t="s">
        <v>149</v>
      </c>
      <c r="H6"/>
      <c r="I6"/>
      <c r="J6"/>
      <c r="K6"/>
      <c r="L6"/>
    </row>
    <row r="7" spans="1:19">
      <c r="A7" s="384" t="s">
        <v>227</v>
      </c>
      <c r="B7" s="384" t="s">
        <v>1478</v>
      </c>
      <c r="C7" s="384" t="s">
        <v>268</v>
      </c>
      <c r="D7" s="384">
        <v>3</v>
      </c>
      <c r="E7" s="406" t="s">
        <v>149</v>
      </c>
      <c r="H7"/>
      <c r="I7"/>
      <c r="J7"/>
      <c r="K7"/>
      <c r="L7"/>
    </row>
    <row r="8" spans="1:19">
      <c r="A8" s="384" t="s">
        <v>227</v>
      </c>
      <c r="B8" s="384" t="s">
        <v>1478</v>
      </c>
      <c r="C8" s="384" t="s">
        <v>269</v>
      </c>
      <c r="D8" s="384">
        <v>0</v>
      </c>
      <c r="E8" s="406" t="s">
        <v>149</v>
      </c>
      <c r="H8"/>
      <c r="I8"/>
      <c r="J8"/>
      <c r="K8"/>
      <c r="L8"/>
    </row>
    <row r="9" spans="1:19">
      <c r="A9" s="384" t="s">
        <v>270</v>
      </c>
      <c r="B9" s="384" t="s">
        <v>1478</v>
      </c>
      <c r="C9" s="384" t="s">
        <v>261</v>
      </c>
      <c r="D9" s="384">
        <v>5199</v>
      </c>
      <c r="E9" s="406" t="s">
        <v>149</v>
      </c>
      <c r="H9"/>
      <c r="I9"/>
      <c r="J9"/>
      <c r="K9"/>
      <c r="L9"/>
    </row>
    <row r="10" spans="1:19">
      <c r="A10" s="384" t="s">
        <v>270</v>
      </c>
      <c r="B10" s="384" t="s">
        <v>1478</v>
      </c>
      <c r="C10" s="384" t="s">
        <v>264</v>
      </c>
      <c r="D10" s="384">
        <v>816</v>
      </c>
      <c r="E10" s="406" t="s">
        <v>149</v>
      </c>
      <c r="H10"/>
      <c r="I10"/>
      <c r="J10"/>
      <c r="K10"/>
      <c r="L10"/>
    </row>
    <row r="11" spans="1:19">
      <c r="A11" s="384" t="s">
        <v>270</v>
      </c>
      <c r="B11" s="384" t="s">
        <v>1478</v>
      </c>
      <c r="C11" s="384" t="s">
        <v>265</v>
      </c>
      <c r="D11" s="384">
        <v>265</v>
      </c>
      <c r="E11" s="406" t="s">
        <v>149</v>
      </c>
      <c r="H11"/>
      <c r="I11"/>
      <c r="J11"/>
      <c r="K11"/>
      <c r="L11"/>
    </row>
    <row r="12" spans="1:19">
      <c r="A12" s="384" t="s">
        <v>270</v>
      </c>
      <c r="B12" s="384" t="s">
        <v>1478</v>
      </c>
      <c r="C12" s="384" t="s">
        <v>266</v>
      </c>
      <c r="D12" s="384">
        <v>178</v>
      </c>
      <c r="E12" s="406" t="s">
        <v>149</v>
      </c>
      <c r="H12"/>
      <c r="I12"/>
      <c r="J12"/>
      <c r="K12"/>
      <c r="L12"/>
    </row>
    <row r="13" spans="1:19">
      <c r="A13" s="384" t="s">
        <v>270</v>
      </c>
      <c r="B13" s="384" t="s">
        <v>1478</v>
      </c>
      <c r="C13" s="384" t="s">
        <v>267</v>
      </c>
      <c r="D13" s="384">
        <v>90</v>
      </c>
      <c r="E13" s="406" t="s">
        <v>149</v>
      </c>
      <c r="H13"/>
      <c r="I13"/>
      <c r="J13"/>
      <c r="K13"/>
      <c r="L13"/>
    </row>
    <row r="14" spans="1:19">
      <c r="A14" s="384" t="s">
        <v>270</v>
      </c>
      <c r="B14" s="384" t="s">
        <v>1478</v>
      </c>
      <c r="C14" s="384" t="s">
        <v>268</v>
      </c>
      <c r="D14" s="384">
        <v>10</v>
      </c>
      <c r="E14" s="406" t="s">
        <v>149</v>
      </c>
      <c r="H14"/>
      <c r="I14"/>
      <c r="J14"/>
      <c r="K14"/>
      <c r="L14"/>
    </row>
    <row r="15" spans="1:19">
      <c r="A15" s="384" t="s">
        <v>270</v>
      </c>
      <c r="B15" s="384" t="s">
        <v>1478</v>
      </c>
      <c r="C15" s="384" t="s">
        <v>269</v>
      </c>
      <c r="D15" s="384">
        <v>1</v>
      </c>
      <c r="E15" s="406" t="s">
        <v>149</v>
      </c>
      <c r="H15"/>
      <c r="I15"/>
      <c r="J15"/>
      <c r="K15"/>
      <c r="L15"/>
    </row>
    <row r="16" spans="1:19">
      <c r="A16" s="384" t="s">
        <v>227</v>
      </c>
      <c r="B16" s="384" t="s">
        <v>1479</v>
      </c>
      <c r="C16" s="384" t="s">
        <v>271</v>
      </c>
      <c r="D16" s="384">
        <v>2</v>
      </c>
      <c r="E16" s="406" t="s">
        <v>149</v>
      </c>
      <c r="H16"/>
      <c r="I16"/>
      <c r="J16"/>
      <c r="K16"/>
      <c r="L16"/>
    </row>
    <row r="17" spans="1:12">
      <c r="A17" s="384" t="s">
        <v>227</v>
      </c>
      <c r="B17" s="384" t="s">
        <v>1479</v>
      </c>
      <c r="C17" s="384" t="s">
        <v>272</v>
      </c>
      <c r="D17" s="384">
        <v>928</v>
      </c>
      <c r="E17" s="406" t="s">
        <v>149</v>
      </c>
      <c r="H17"/>
      <c r="I17"/>
      <c r="J17"/>
      <c r="K17"/>
      <c r="L17"/>
    </row>
    <row r="18" spans="1:12">
      <c r="A18" s="384" t="s">
        <v>227</v>
      </c>
      <c r="B18" s="384" t="s">
        <v>1479</v>
      </c>
      <c r="C18" s="384" t="s">
        <v>273</v>
      </c>
      <c r="D18" s="384">
        <v>367</v>
      </c>
      <c r="E18" s="406" t="s">
        <v>149</v>
      </c>
      <c r="H18"/>
      <c r="I18"/>
      <c r="J18"/>
      <c r="K18"/>
      <c r="L18"/>
    </row>
    <row r="19" spans="1:12">
      <c r="A19" s="384" t="s">
        <v>227</v>
      </c>
      <c r="B19" s="384" t="s">
        <v>1479</v>
      </c>
      <c r="C19" s="384" t="s">
        <v>274</v>
      </c>
      <c r="D19" s="384">
        <v>82</v>
      </c>
      <c r="E19" s="406" t="s">
        <v>149</v>
      </c>
      <c r="H19"/>
      <c r="I19"/>
      <c r="J19"/>
      <c r="K19"/>
      <c r="L19"/>
    </row>
    <row r="20" spans="1:12">
      <c r="A20" s="384" t="s">
        <v>227</v>
      </c>
      <c r="B20" s="384" t="s">
        <v>1479</v>
      </c>
      <c r="C20" s="384" t="s">
        <v>275</v>
      </c>
      <c r="D20" s="384">
        <v>23</v>
      </c>
      <c r="E20" s="406" t="s">
        <v>149</v>
      </c>
      <c r="H20"/>
      <c r="I20"/>
      <c r="J20"/>
      <c r="K20"/>
      <c r="L20"/>
    </row>
    <row r="21" spans="1:12">
      <c r="A21" s="384" t="s">
        <v>227</v>
      </c>
      <c r="B21" s="384" t="s">
        <v>1479</v>
      </c>
      <c r="C21" s="384" t="s">
        <v>276</v>
      </c>
      <c r="D21" s="384">
        <v>12</v>
      </c>
      <c r="E21" s="406" t="s">
        <v>149</v>
      </c>
      <c r="H21"/>
      <c r="I21"/>
      <c r="J21"/>
      <c r="K21"/>
      <c r="L21"/>
    </row>
    <row r="22" spans="1:12">
      <c r="A22" s="384" t="s">
        <v>227</v>
      </c>
      <c r="B22" s="384" t="s">
        <v>1479</v>
      </c>
      <c r="C22" s="384" t="s">
        <v>277</v>
      </c>
      <c r="D22" s="384">
        <v>3</v>
      </c>
      <c r="E22" s="406" t="s">
        <v>149</v>
      </c>
      <c r="H22"/>
      <c r="I22"/>
      <c r="J22"/>
      <c r="K22"/>
      <c r="L22"/>
    </row>
    <row r="23" spans="1:12">
      <c r="A23" s="384" t="s">
        <v>227</v>
      </c>
      <c r="B23" s="384" t="s">
        <v>1479</v>
      </c>
      <c r="C23" s="384" t="s">
        <v>278</v>
      </c>
      <c r="D23" s="384">
        <v>0</v>
      </c>
      <c r="E23" s="406" t="s">
        <v>149</v>
      </c>
      <c r="H23"/>
      <c r="I23"/>
      <c r="J23"/>
      <c r="K23"/>
      <c r="L23"/>
    </row>
    <row r="24" spans="1:12">
      <c r="A24" s="384" t="s">
        <v>270</v>
      </c>
      <c r="B24" s="384" t="s">
        <v>1479</v>
      </c>
      <c r="C24" s="384" t="s">
        <v>271</v>
      </c>
      <c r="D24" s="384">
        <v>1</v>
      </c>
      <c r="E24" s="406" t="s">
        <v>149</v>
      </c>
      <c r="H24"/>
      <c r="I24"/>
      <c r="J24"/>
      <c r="K24"/>
      <c r="L24"/>
    </row>
    <row r="25" spans="1:12">
      <c r="A25" s="384" t="s">
        <v>270</v>
      </c>
      <c r="B25" s="384" t="s">
        <v>1479</v>
      </c>
      <c r="C25" s="384" t="s">
        <v>272</v>
      </c>
      <c r="D25" s="384">
        <v>355</v>
      </c>
      <c r="E25" s="406" t="s">
        <v>149</v>
      </c>
      <c r="H25"/>
      <c r="I25"/>
      <c r="J25"/>
      <c r="K25"/>
      <c r="L25"/>
    </row>
    <row r="26" spans="1:12">
      <c r="A26" s="384" t="s">
        <v>270</v>
      </c>
      <c r="B26" s="384" t="s">
        <v>1479</v>
      </c>
      <c r="C26" s="384" t="s">
        <v>273</v>
      </c>
      <c r="D26" s="384">
        <v>108</v>
      </c>
      <c r="E26" s="406" t="s">
        <v>149</v>
      </c>
      <c r="H26"/>
      <c r="I26"/>
      <c r="J26"/>
      <c r="K26"/>
      <c r="L26"/>
    </row>
    <row r="27" spans="1:12">
      <c r="A27" s="384" t="s">
        <v>270</v>
      </c>
      <c r="B27" s="384" t="s">
        <v>1479</v>
      </c>
      <c r="C27" s="384" t="s">
        <v>274</v>
      </c>
      <c r="D27" s="384">
        <v>78</v>
      </c>
      <c r="E27" s="406" t="s">
        <v>149</v>
      </c>
      <c r="H27"/>
      <c r="I27"/>
      <c r="J27"/>
      <c r="K27"/>
      <c r="L27"/>
    </row>
    <row r="28" spans="1:12">
      <c r="A28" s="384" t="s">
        <v>270</v>
      </c>
      <c r="B28" s="384" t="s">
        <v>1479</v>
      </c>
      <c r="C28" s="384" t="s">
        <v>275</v>
      </c>
      <c r="D28" s="384">
        <v>32</v>
      </c>
      <c r="E28" s="406" t="s">
        <v>149</v>
      </c>
      <c r="H28"/>
      <c r="I28"/>
      <c r="J28"/>
      <c r="K28"/>
      <c r="L28"/>
    </row>
    <row r="29" spans="1:12">
      <c r="A29" s="384" t="s">
        <v>270</v>
      </c>
      <c r="B29" s="384" t="s">
        <v>1479</v>
      </c>
      <c r="C29" s="384" t="s">
        <v>276</v>
      </c>
      <c r="D29" s="384">
        <v>8</v>
      </c>
      <c r="E29" s="406" t="s">
        <v>149</v>
      </c>
      <c r="H29"/>
      <c r="I29"/>
      <c r="J29"/>
      <c r="K29"/>
      <c r="L29"/>
    </row>
    <row r="30" spans="1:12">
      <c r="A30" s="384" t="s">
        <v>270</v>
      </c>
      <c r="B30" s="384" t="s">
        <v>1479</v>
      </c>
      <c r="C30" s="384" t="s">
        <v>277</v>
      </c>
      <c r="D30" s="384">
        <v>1</v>
      </c>
      <c r="E30" s="406" t="s">
        <v>149</v>
      </c>
      <c r="H30"/>
      <c r="I30"/>
      <c r="J30"/>
      <c r="K30"/>
      <c r="L30"/>
    </row>
    <row r="31" spans="1:12">
      <c r="A31" s="384" t="s">
        <v>270</v>
      </c>
      <c r="B31" s="384" t="s">
        <v>1479</v>
      </c>
      <c r="C31" s="384" t="s">
        <v>278</v>
      </c>
      <c r="D31" s="384">
        <v>0</v>
      </c>
      <c r="E31" s="406" t="s">
        <v>149</v>
      </c>
      <c r="H31"/>
      <c r="I31"/>
      <c r="J31"/>
      <c r="K31"/>
      <c r="L31"/>
    </row>
    <row r="32" spans="1:12">
      <c r="A32" s="384" t="s">
        <v>227</v>
      </c>
      <c r="B32" s="384" t="s">
        <v>1478</v>
      </c>
      <c r="C32" s="384" t="s">
        <v>261</v>
      </c>
      <c r="D32" s="384">
        <v>3276</v>
      </c>
      <c r="E32" s="406" t="s">
        <v>151</v>
      </c>
      <c r="H32"/>
      <c r="I32"/>
      <c r="J32"/>
      <c r="K32"/>
      <c r="L32"/>
    </row>
    <row r="33" spans="1:12">
      <c r="A33" s="384" t="s">
        <v>227</v>
      </c>
      <c r="B33" s="384" t="s">
        <v>1478</v>
      </c>
      <c r="C33" s="384" t="s">
        <v>264</v>
      </c>
      <c r="D33" s="384">
        <v>632</v>
      </c>
      <c r="E33" s="406" t="s">
        <v>151</v>
      </c>
      <c r="H33"/>
      <c r="I33"/>
      <c r="J33"/>
      <c r="K33"/>
      <c r="L33"/>
    </row>
    <row r="34" spans="1:12">
      <c r="A34" s="384" t="s">
        <v>227</v>
      </c>
      <c r="B34" s="384" t="s">
        <v>1478</v>
      </c>
      <c r="C34" s="384" t="s">
        <v>265</v>
      </c>
      <c r="D34" s="384">
        <v>61</v>
      </c>
      <c r="E34" s="406" t="s">
        <v>151</v>
      </c>
      <c r="H34"/>
      <c r="I34"/>
      <c r="J34"/>
      <c r="K34"/>
      <c r="L34"/>
    </row>
    <row r="35" spans="1:12">
      <c r="A35" s="384" t="s">
        <v>227</v>
      </c>
      <c r="B35" s="384" t="s">
        <v>1478</v>
      </c>
      <c r="C35" s="384" t="s">
        <v>266</v>
      </c>
      <c r="D35" s="384">
        <v>98</v>
      </c>
      <c r="E35" s="406" t="s">
        <v>151</v>
      </c>
      <c r="H35"/>
      <c r="I35"/>
      <c r="J35"/>
      <c r="K35"/>
      <c r="L35"/>
    </row>
    <row r="36" spans="1:12">
      <c r="A36" s="384" t="s">
        <v>227</v>
      </c>
      <c r="B36" s="384" t="s">
        <v>1478</v>
      </c>
      <c r="C36" s="384" t="s">
        <v>267</v>
      </c>
      <c r="D36" s="384">
        <v>17</v>
      </c>
      <c r="E36" s="406" t="s">
        <v>151</v>
      </c>
      <c r="H36"/>
      <c r="I36"/>
      <c r="J36"/>
      <c r="K36"/>
      <c r="L36"/>
    </row>
    <row r="37" spans="1:12">
      <c r="A37" s="384" t="s">
        <v>227</v>
      </c>
      <c r="B37" s="384" t="s">
        <v>1478</v>
      </c>
      <c r="C37" s="384" t="s">
        <v>268</v>
      </c>
      <c r="D37" s="384">
        <v>0</v>
      </c>
      <c r="E37" s="406" t="s">
        <v>151</v>
      </c>
      <c r="H37"/>
      <c r="I37"/>
      <c r="J37"/>
      <c r="K37"/>
      <c r="L37"/>
    </row>
    <row r="38" spans="1:12">
      <c r="A38" s="384" t="s">
        <v>227</v>
      </c>
      <c r="B38" s="384" t="s">
        <v>1478</v>
      </c>
      <c r="C38" s="384" t="s">
        <v>269</v>
      </c>
      <c r="D38" s="384">
        <v>0</v>
      </c>
      <c r="E38" s="406" t="s">
        <v>151</v>
      </c>
      <c r="H38"/>
      <c r="I38"/>
      <c r="J38"/>
      <c r="K38"/>
      <c r="L38"/>
    </row>
    <row r="39" spans="1:12">
      <c r="A39" s="384" t="s">
        <v>270</v>
      </c>
      <c r="B39" s="384" t="s">
        <v>1478</v>
      </c>
      <c r="C39" s="384" t="s">
        <v>261</v>
      </c>
      <c r="D39" s="384">
        <v>5071</v>
      </c>
      <c r="E39" s="406" t="s">
        <v>151</v>
      </c>
      <c r="H39"/>
      <c r="I39"/>
      <c r="J39"/>
      <c r="K39"/>
      <c r="L39"/>
    </row>
    <row r="40" spans="1:12">
      <c r="A40" s="384" t="s">
        <v>270</v>
      </c>
      <c r="B40" s="384" t="s">
        <v>1478</v>
      </c>
      <c r="C40" s="384" t="s">
        <v>264</v>
      </c>
      <c r="D40" s="384">
        <v>773</v>
      </c>
      <c r="E40" s="406" t="s">
        <v>151</v>
      </c>
      <c r="H40"/>
      <c r="I40"/>
      <c r="J40"/>
      <c r="K40"/>
      <c r="L40"/>
    </row>
    <row r="41" spans="1:12">
      <c r="A41" s="384" t="s">
        <v>270</v>
      </c>
      <c r="B41" s="384" t="s">
        <v>1478</v>
      </c>
      <c r="C41" s="384" t="s">
        <v>265</v>
      </c>
      <c r="D41" s="384">
        <v>256</v>
      </c>
      <c r="E41" s="406" t="s">
        <v>151</v>
      </c>
      <c r="H41"/>
      <c r="I41"/>
      <c r="J41"/>
      <c r="K41"/>
      <c r="L41"/>
    </row>
    <row r="42" spans="1:12">
      <c r="A42" s="384" t="s">
        <v>270</v>
      </c>
      <c r="B42" s="384" t="s">
        <v>1478</v>
      </c>
      <c r="C42" s="384" t="s">
        <v>266</v>
      </c>
      <c r="D42" s="384">
        <v>176</v>
      </c>
      <c r="E42" s="406" t="s">
        <v>151</v>
      </c>
      <c r="H42"/>
      <c r="I42"/>
      <c r="J42"/>
      <c r="K42"/>
      <c r="L42"/>
    </row>
    <row r="43" spans="1:12">
      <c r="A43" s="384" t="s">
        <v>270</v>
      </c>
      <c r="B43" s="384" t="s">
        <v>1478</v>
      </c>
      <c r="C43" s="384" t="s">
        <v>267</v>
      </c>
      <c r="D43" s="384">
        <v>89</v>
      </c>
      <c r="E43" s="406" t="s">
        <v>151</v>
      </c>
      <c r="H43"/>
      <c r="I43"/>
      <c r="J43"/>
      <c r="K43"/>
      <c r="L43"/>
    </row>
    <row r="44" spans="1:12">
      <c r="A44" s="384" t="s">
        <v>270</v>
      </c>
      <c r="B44" s="384" t="s">
        <v>1478</v>
      </c>
      <c r="C44" s="384" t="s">
        <v>268</v>
      </c>
      <c r="D44" s="384">
        <v>7</v>
      </c>
      <c r="E44" s="406" t="s">
        <v>151</v>
      </c>
      <c r="H44"/>
      <c r="I44"/>
      <c r="J44"/>
      <c r="K44"/>
      <c r="L44"/>
    </row>
    <row r="45" spans="1:12">
      <c r="A45" s="384" t="s">
        <v>270</v>
      </c>
      <c r="B45" s="384" t="s">
        <v>1478</v>
      </c>
      <c r="C45" s="384" t="s">
        <v>269</v>
      </c>
      <c r="D45" s="384">
        <v>1</v>
      </c>
      <c r="E45" s="406" t="s">
        <v>151</v>
      </c>
      <c r="H45"/>
      <c r="I45"/>
      <c r="J45"/>
      <c r="K45"/>
      <c r="L45"/>
    </row>
    <row r="46" spans="1:12">
      <c r="A46" s="384" t="s">
        <v>227</v>
      </c>
      <c r="B46" s="384" t="s">
        <v>1479</v>
      </c>
      <c r="C46" s="384" t="s">
        <v>271</v>
      </c>
      <c r="D46" s="384">
        <v>2</v>
      </c>
      <c r="E46" s="406" t="s">
        <v>151</v>
      </c>
      <c r="H46"/>
      <c r="I46"/>
      <c r="J46"/>
      <c r="K46"/>
      <c r="L46"/>
    </row>
    <row r="47" spans="1:12">
      <c r="A47" s="384" t="s">
        <v>227</v>
      </c>
      <c r="B47" s="384" t="s">
        <v>1479</v>
      </c>
      <c r="C47" s="384" t="s">
        <v>272</v>
      </c>
      <c r="D47" s="384">
        <v>928</v>
      </c>
      <c r="E47" s="406" t="s">
        <v>151</v>
      </c>
      <c r="H47"/>
      <c r="I47"/>
      <c r="J47"/>
      <c r="K47"/>
      <c r="L47"/>
    </row>
    <row r="48" spans="1:12">
      <c r="A48" s="384" t="s">
        <v>227</v>
      </c>
      <c r="B48" s="384" t="s">
        <v>1479</v>
      </c>
      <c r="C48" s="384" t="s">
        <v>273</v>
      </c>
      <c r="D48" s="384">
        <v>367</v>
      </c>
      <c r="E48" s="406" t="s">
        <v>151</v>
      </c>
      <c r="H48"/>
      <c r="I48"/>
      <c r="J48"/>
      <c r="K48"/>
      <c r="L48"/>
    </row>
    <row r="49" spans="1:12">
      <c r="A49" s="384" t="s">
        <v>227</v>
      </c>
      <c r="B49" s="384" t="s">
        <v>1479</v>
      </c>
      <c r="C49" s="384" t="s">
        <v>274</v>
      </c>
      <c r="D49" s="384">
        <v>82</v>
      </c>
      <c r="E49" s="406" t="s">
        <v>151</v>
      </c>
      <c r="H49"/>
      <c r="I49"/>
      <c r="J49"/>
      <c r="K49"/>
      <c r="L49"/>
    </row>
    <row r="50" spans="1:12">
      <c r="A50" s="384" t="s">
        <v>227</v>
      </c>
      <c r="B50" s="384" t="s">
        <v>1479</v>
      </c>
      <c r="C50" s="384" t="s">
        <v>275</v>
      </c>
      <c r="D50" s="384">
        <v>23</v>
      </c>
      <c r="E50" s="406" t="s">
        <v>151</v>
      </c>
      <c r="H50"/>
      <c r="I50"/>
      <c r="J50"/>
      <c r="K50"/>
      <c r="L50"/>
    </row>
    <row r="51" spans="1:12">
      <c r="A51" s="384" t="s">
        <v>227</v>
      </c>
      <c r="B51" s="384" t="s">
        <v>1479</v>
      </c>
      <c r="C51" s="384" t="s">
        <v>276</v>
      </c>
      <c r="D51" s="384">
        <v>12</v>
      </c>
      <c r="E51" s="406" t="s">
        <v>151</v>
      </c>
      <c r="H51"/>
      <c r="I51"/>
      <c r="J51"/>
      <c r="K51"/>
      <c r="L51"/>
    </row>
    <row r="52" spans="1:12">
      <c r="A52" s="384" t="s">
        <v>227</v>
      </c>
      <c r="B52" s="384" t="s">
        <v>1479</v>
      </c>
      <c r="C52" s="384" t="s">
        <v>277</v>
      </c>
      <c r="D52" s="384">
        <v>3</v>
      </c>
      <c r="E52" s="406" t="s">
        <v>151</v>
      </c>
      <c r="H52"/>
      <c r="I52"/>
      <c r="J52"/>
      <c r="K52"/>
      <c r="L52"/>
    </row>
    <row r="53" spans="1:12">
      <c r="A53" s="384" t="s">
        <v>227</v>
      </c>
      <c r="B53" s="384" t="s">
        <v>1479</v>
      </c>
      <c r="C53" s="384" t="s">
        <v>278</v>
      </c>
      <c r="D53" s="384">
        <v>0</v>
      </c>
      <c r="E53" s="406" t="s">
        <v>151</v>
      </c>
      <c r="H53"/>
      <c r="I53"/>
      <c r="J53"/>
      <c r="K53"/>
      <c r="L53"/>
    </row>
    <row r="54" spans="1:12">
      <c r="A54" s="384" t="s">
        <v>270</v>
      </c>
      <c r="B54" s="384" t="s">
        <v>1479</v>
      </c>
      <c r="C54" s="384" t="s">
        <v>271</v>
      </c>
      <c r="D54" s="384">
        <v>1</v>
      </c>
      <c r="E54" s="406" t="s">
        <v>151</v>
      </c>
      <c r="H54"/>
      <c r="I54"/>
      <c r="J54"/>
      <c r="K54"/>
      <c r="L54"/>
    </row>
    <row r="55" spans="1:12">
      <c r="A55" s="384" t="s">
        <v>270</v>
      </c>
      <c r="B55" s="384" t="s">
        <v>1479</v>
      </c>
      <c r="C55" s="384" t="s">
        <v>272</v>
      </c>
      <c r="D55" s="384">
        <v>355</v>
      </c>
      <c r="E55" s="406" t="s">
        <v>151</v>
      </c>
      <c r="H55"/>
      <c r="I55"/>
      <c r="J55"/>
      <c r="K55"/>
      <c r="L55"/>
    </row>
    <row r="56" spans="1:12">
      <c r="A56" s="384" t="s">
        <v>270</v>
      </c>
      <c r="B56" s="384" t="s">
        <v>1479</v>
      </c>
      <c r="C56" s="384" t="s">
        <v>273</v>
      </c>
      <c r="D56" s="384">
        <v>108</v>
      </c>
      <c r="E56" s="406" t="s">
        <v>151</v>
      </c>
      <c r="H56"/>
      <c r="I56"/>
      <c r="J56"/>
      <c r="K56"/>
      <c r="L56"/>
    </row>
    <row r="57" spans="1:12">
      <c r="A57" s="384" t="s">
        <v>270</v>
      </c>
      <c r="B57" s="384" t="s">
        <v>1479</v>
      </c>
      <c r="C57" s="384" t="s">
        <v>274</v>
      </c>
      <c r="D57" s="384">
        <v>78</v>
      </c>
      <c r="E57" s="406" t="s">
        <v>151</v>
      </c>
      <c r="H57"/>
      <c r="I57"/>
      <c r="J57"/>
      <c r="K57"/>
      <c r="L57"/>
    </row>
    <row r="58" spans="1:12">
      <c r="A58" s="384" t="s">
        <v>270</v>
      </c>
      <c r="B58" s="384" t="s">
        <v>1479</v>
      </c>
      <c r="C58" s="384" t="s">
        <v>275</v>
      </c>
      <c r="D58" s="384">
        <v>32</v>
      </c>
      <c r="E58" s="406" t="s">
        <v>151</v>
      </c>
      <c r="H58"/>
      <c r="I58"/>
      <c r="J58"/>
      <c r="K58"/>
      <c r="L58"/>
    </row>
    <row r="59" spans="1:12">
      <c r="A59" s="384" t="s">
        <v>270</v>
      </c>
      <c r="B59" s="384" t="s">
        <v>1479</v>
      </c>
      <c r="C59" s="384" t="s">
        <v>276</v>
      </c>
      <c r="D59" s="384">
        <v>8</v>
      </c>
      <c r="E59" s="406" t="s">
        <v>151</v>
      </c>
      <c r="H59"/>
      <c r="I59"/>
      <c r="J59"/>
      <c r="K59"/>
      <c r="L59"/>
    </row>
    <row r="60" spans="1:12">
      <c r="A60" s="384" t="s">
        <v>270</v>
      </c>
      <c r="B60" s="384" t="s">
        <v>1479</v>
      </c>
      <c r="C60" s="384" t="s">
        <v>277</v>
      </c>
      <c r="D60" s="384">
        <v>1</v>
      </c>
      <c r="E60" s="406" t="s">
        <v>151</v>
      </c>
      <c r="H60"/>
      <c r="I60"/>
      <c r="J60"/>
      <c r="K60"/>
      <c r="L60"/>
    </row>
    <row r="61" spans="1:12">
      <c r="A61" s="384" t="s">
        <v>270</v>
      </c>
      <c r="B61" s="384" t="s">
        <v>1479</v>
      </c>
      <c r="C61" s="384" t="s">
        <v>278</v>
      </c>
      <c r="D61" s="384">
        <v>0</v>
      </c>
      <c r="E61" s="406" t="s">
        <v>151</v>
      </c>
      <c r="H61"/>
      <c r="I61"/>
      <c r="J61"/>
      <c r="K61"/>
      <c r="L61"/>
    </row>
    <row r="62" spans="1:12">
      <c r="A62" s="384" t="s">
        <v>227</v>
      </c>
      <c r="B62" s="384" t="s">
        <v>1478</v>
      </c>
      <c r="C62" s="384" t="s">
        <v>261</v>
      </c>
      <c r="D62" s="384">
        <v>3006</v>
      </c>
      <c r="E62" s="406" t="s">
        <v>150</v>
      </c>
      <c r="H62"/>
      <c r="I62"/>
      <c r="J62"/>
      <c r="K62"/>
      <c r="L62"/>
    </row>
    <row r="63" spans="1:12">
      <c r="A63" s="384" t="s">
        <v>227</v>
      </c>
      <c r="B63" s="384" t="s">
        <v>1478</v>
      </c>
      <c r="C63" s="384" t="s">
        <v>264</v>
      </c>
      <c r="D63" s="384">
        <v>582</v>
      </c>
      <c r="E63" s="406" t="s">
        <v>150</v>
      </c>
      <c r="H63"/>
      <c r="I63"/>
      <c r="J63"/>
      <c r="K63"/>
      <c r="L63"/>
    </row>
    <row r="64" spans="1:12">
      <c r="A64" s="384" t="s">
        <v>227</v>
      </c>
      <c r="B64" s="384" t="s">
        <v>1478</v>
      </c>
      <c r="C64" s="384" t="s">
        <v>265</v>
      </c>
      <c r="D64" s="384">
        <v>56</v>
      </c>
      <c r="E64" s="406" t="s">
        <v>150</v>
      </c>
      <c r="H64"/>
      <c r="I64"/>
      <c r="J64"/>
      <c r="K64"/>
      <c r="L64"/>
    </row>
    <row r="65" spans="1:12">
      <c r="A65" s="384" t="s">
        <v>227</v>
      </c>
      <c r="B65" s="384" t="s">
        <v>1478</v>
      </c>
      <c r="C65" s="384" t="s">
        <v>266</v>
      </c>
      <c r="D65" s="384">
        <v>93</v>
      </c>
      <c r="E65" s="406" t="s">
        <v>150</v>
      </c>
      <c r="H65"/>
      <c r="I65"/>
      <c r="J65"/>
      <c r="K65"/>
      <c r="L65"/>
    </row>
    <row r="66" spans="1:12">
      <c r="A66" s="384" t="s">
        <v>227</v>
      </c>
      <c r="B66" s="384" t="s">
        <v>1478</v>
      </c>
      <c r="C66" s="384" t="s">
        <v>267</v>
      </c>
      <c r="D66" s="384">
        <v>15</v>
      </c>
      <c r="E66" s="406" t="s">
        <v>150</v>
      </c>
      <c r="H66"/>
      <c r="I66"/>
      <c r="J66"/>
      <c r="K66"/>
      <c r="L66"/>
    </row>
    <row r="67" spans="1:12">
      <c r="A67" s="384" t="s">
        <v>227</v>
      </c>
      <c r="B67" s="384" t="s">
        <v>1478</v>
      </c>
      <c r="C67" s="384" t="s">
        <v>268</v>
      </c>
      <c r="D67" s="384">
        <v>0</v>
      </c>
      <c r="E67" s="406" t="s">
        <v>150</v>
      </c>
      <c r="H67"/>
      <c r="I67"/>
      <c r="J67"/>
      <c r="K67"/>
      <c r="L67"/>
    </row>
    <row r="68" spans="1:12">
      <c r="A68" s="384" t="s">
        <v>227</v>
      </c>
      <c r="B68" s="384" t="s">
        <v>1478</v>
      </c>
      <c r="C68" s="384" t="s">
        <v>269</v>
      </c>
      <c r="D68" s="384">
        <v>0</v>
      </c>
      <c r="E68" s="406" t="s">
        <v>150</v>
      </c>
      <c r="H68"/>
      <c r="I68"/>
      <c r="J68"/>
      <c r="K68"/>
      <c r="L68"/>
    </row>
    <row r="69" spans="1:12">
      <c r="A69" s="384" t="s">
        <v>270</v>
      </c>
      <c r="B69" s="384" t="s">
        <v>1478</v>
      </c>
      <c r="C69" s="384" t="s">
        <v>261</v>
      </c>
      <c r="D69" s="384">
        <v>4616</v>
      </c>
      <c r="E69" s="406" t="s">
        <v>150</v>
      </c>
      <c r="H69"/>
      <c r="I69"/>
      <c r="J69"/>
      <c r="K69"/>
      <c r="L69"/>
    </row>
    <row r="70" spans="1:12">
      <c r="A70" s="384" t="s">
        <v>270</v>
      </c>
      <c r="B70" s="384" t="s">
        <v>1478</v>
      </c>
      <c r="C70" s="384" t="s">
        <v>264</v>
      </c>
      <c r="D70" s="384">
        <v>756</v>
      </c>
      <c r="E70" s="406" t="s">
        <v>150</v>
      </c>
      <c r="H70"/>
      <c r="I70"/>
      <c r="J70"/>
      <c r="K70"/>
      <c r="L70"/>
    </row>
    <row r="71" spans="1:12">
      <c r="A71" s="384" t="s">
        <v>270</v>
      </c>
      <c r="B71" s="384" t="s">
        <v>1478</v>
      </c>
      <c r="C71" s="384" t="s">
        <v>265</v>
      </c>
      <c r="D71" s="384">
        <v>250</v>
      </c>
      <c r="E71" s="406" t="s">
        <v>150</v>
      </c>
      <c r="H71"/>
      <c r="I71"/>
      <c r="J71"/>
      <c r="K71"/>
      <c r="L71"/>
    </row>
    <row r="72" spans="1:12">
      <c r="A72" s="384" t="s">
        <v>270</v>
      </c>
      <c r="B72" s="384" t="s">
        <v>1478</v>
      </c>
      <c r="C72" s="384" t="s">
        <v>266</v>
      </c>
      <c r="D72" s="384">
        <v>176</v>
      </c>
      <c r="E72" s="406" t="s">
        <v>150</v>
      </c>
      <c r="H72"/>
      <c r="I72"/>
      <c r="J72"/>
      <c r="K72"/>
      <c r="L72"/>
    </row>
    <row r="73" spans="1:12">
      <c r="A73" s="384" t="s">
        <v>270</v>
      </c>
      <c r="B73" s="384" t="s">
        <v>1478</v>
      </c>
      <c r="C73" s="384" t="s">
        <v>267</v>
      </c>
      <c r="D73" s="384">
        <v>89</v>
      </c>
      <c r="E73" s="406" t="s">
        <v>150</v>
      </c>
      <c r="H73"/>
      <c r="I73"/>
      <c r="J73"/>
      <c r="K73"/>
      <c r="L73"/>
    </row>
    <row r="74" spans="1:12">
      <c r="A74" s="384" t="s">
        <v>270</v>
      </c>
      <c r="B74" s="384" t="s">
        <v>1478</v>
      </c>
      <c r="C74" s="384" t="s">
        <v>268</v>
      </c>
      <c r="D74" s="384">
        <v>10</v>
      </c>
      <c r="E74" s="406" t="s">
        <v>150</v>
      </c>
      <c r="H74"/>
      <c r="I74"/>
      <c r="J74"/>
      <c r="K74"/>
      <c r="L74"/>
    </row>
    <row r="75" spans="1:12">
      <c r="A75" s="384" t="s">
        <v>270</v>
      </c>
      <c r="B75" s="384" t="s">
        <v>1478</v>
      </c>
      <c r="C75" s="384" t="s">
        <v>269</v>
      </c>
      <c r="D75" s="384">
        <v>1</v>
      </c>
      <c r="E75" s="406" t="s">
        <v>150</v>
      </c>
      <c r="H75"/>
      <c r="I75"/>
      <c r="J75"/>
      <c r="K75"/>
      <c r="L75"/>
    </row>
    <row r="76" spans="1:12">
      <c r="A76" s="384" t="s">
        <v>227</v>
      </c>
      <c r="B76" s="384" t="s">
        <v>1479</v>
      </c>
      <c r="C76" s="384" t="s">
        <v>271</v>
      </c>
      <c r="D76" s="384">
        <v>2</v>
      </c>
      <c r="E76" s="406" t="s">
        <v>150</v>
      </c>
      <c r="H76"/>
      <c r="I76"/>
      <c r="J76"/>
      <c r="K76"/>
      <c r="L76"/>
    </row>
    <row r="77" spans="1:12">
      <c r="A77" s="384" t="s">
        <v>227</v>
      </c>
      <c r="B77" s="384" t="s">
        <v>1479</v>
      </c>
      <c r="C77" s="384" t="s">
        <v>272</v>
      </c>
      <c r="D77" s="384">
        <v>928</v>
      </c>
      <c r="E77" s="406" t="s">
        <v>150</v>
      </c>
      <c r="H77"/>
      <c r="I77"/>
      <c r="J77"/>
      <c r="K77"/>
      <c r="L77"/>
    </row>
    <row r="78" spans="1:12">
      <c r="A78" s="384" t="s">
        <v>227</v>
      </c>
      <c r="B78" s="384" t="s">
        <v>1479</v>
      </c>
      <c r="C78" s="384" t="s">
        <v>273</v>
      </c>
      <c r="D78" s="384">
        <v>367</v>
      </c>
      <c r="E78" s="406" t="s">
        <v>150</v>
      </c>
      <c r="H78"/>
      <c r="I78"/>
      <c r="J78"/>
      <c r="K78"/>
      <c r="L78"/>
    </row>
    <row r="79" spans="1:12">
      <c r="A79" s="384" t="s">
        <v>227</v>
      </c>
      <c r="B79" s="384" t="s">
        <v>1479</v>
      </c>
      <c r="C79" s="384" t="s">
        <v>274</v>
      </c>
      <c r="D79" s="384">
        <v>82</v>
      </c>
      <c r="E79" s="406" t="s">
        <v>150</v>
      </c>
      <c r="H79"/>
      <c r="I79"/>
      <c r="J79"/>
      <c r="K79"/>
      <c r="L79"/>
    </row>
    <row r="80" spans="1:12">
      <c r="A80" s="384" t="s">
        <v>227</v>
      </c>
      <c r="B80" s="384" t="s">
        <v>1479</v>
      </c>
      <c r="C80" s="384" t="s">
        <v>275</v>
      </c>
      <c r="D80" s="384">
        <v>23</v>
      </c>
      <c r="E80" s="406" t="s">
        <v>150</v>
      </c>
      <c r="H80"/>
      <c r="I80"/>
      <c r="J80"/>
      <c r="K80"/>
      <c r="L80"/>
    </row>
    <row r="81" spans="1:12">
      <c r="A81" s="384" t="s">
        <v>227</v>
      </c>
      <c r="B81" s="384" t="s">
        <v>1479</v>
      </c>
      <c r="C81" s="384" t="s">
        <v>276</v>
      </c>
      <c r="D81" s="384">
        <v>12</v>
      </c>
      <c r="E81" s="406" t="s">
        <v>150</v>
      </c>
      <c r="H81"/>
      <c r="I81"/>
      <c r="J81"/>
      <c r="K81"/>
      <c r="L81"/>
    </row>
    <row r="82" spans="1:12">
      <c r="A82" s="384" t="s">
        <v>227</v>
      </c>
      <c r="B82" s="384" t="s">
        <v>1479</v>
      </c>
      <c r="C82" s="384" t="s">
        <v>277</v>
      </c>
      <c r="D82" s="384">
        <v>3</v>
      </c>
      <c r="E82" s="406" t="s">
        <v>150</v>
      </c>
      <c r="H82"/>
      <c r="I82"/>
      <c r="J82"/>
      <c r="K82"/>
      <c r="L82"/>
    </row>
    <row r="83" spans="1:12">
      <c r="A83" s="384" t="s">
        <v>227</v>
      </c>
      <c r="B83" s="384" t="s">
        <v>1479</v>
      </c>
      <c r="C83" s="384" t="s">
        <v>278</v>
      </c>
      <c r="D83" s="384">
        <v>0</v>
      </c>
      <c r="E83" s="406" t="s">
        <v>150</v>
      </c>
      <c r="H83"/>
      <c r="I83"/>
      <c r="J83"/>
      <c r="K83"/>
      <c r="L83"/>
    </row>
    <row r="84" spans="1:12">
      <c r="A84" s="384" t="s">
        <v>270</v>
      </c>
      <c r="B84" s="384" t="s">
        <v>1479</v>
      </c>
      <c r="C84" s="384" t="s">
        <v>271</v>
      </c>
      <c r="D84" s="384">
        <v>1</v>
      </c>
      <c r="E84" s="406" t="s">
        <v>150</v>
      </c>
      <c r="H84"/>
      <c r="I84"/>
      <c r="J84"/>
      <c r="K84"/>
      <c r="L84"/>
    </row>
    <row r="85" spans="1:12">
      <c r="A85" s="384" t="s">
        <v>270</v>
      </c>
      <c r="B85" s="384" t="s">
        <v>1479</v>
      </c>
      <c r="C85" s="384" t="s">
        <v>272</v>
      </c>
      <c r="D85" s="384">
        <v>355</v>
      </c>
      <c r="E85" s="406" t="s">
        <v>150</v>
      </c>
      <c r="H85"/>
      <c r="I85"/>
      <c r="J85"/>
      <c r="K85"/>
      <c r="L85"/>
    </row>
    <row r="86" spans="1:12">
      <c r="A86" s="384" t="s">
        <v>270</v>
      </c>
      <c r="B86" s="384" t="s">
        <v>1479</v>
      </c>
      <c r="C86" s="384" t="s">
        <v>273</v>
      </c>
      <c r="D86" s="384">
        <v>108</v>
      </c>
      <c r="E86" s="406" t="s">
        <v>150</v>
      </c>
      <c r="H86"/>
      <c r="I86"/>
      <c r="J86"/>
      <c r="K86"/>
      <c r="L86"/>
    </row>
    <row r="87" spans="1:12">
      <c r="A87" s="384" t="s">
        <v>270</v>
      </c>
      <c r="B87" s="384" t="s">
        <v>1479</v>
      </c>
      <c r="C87" s="384" t="s">
        <v>274</v>
      </c>
      <c r="D87" s="384">
        <v>78</v>
      </c>
      <c r="E87" s="406" t="s">
        <v>150</v>
      </c>
      <c r="H87"/>
      <c r="I87"/>
      <c r="J87"/>
      <c r="K87"/>
      <c r="L87"/>
    </row>
    <row r="88" spans="1:12">
      <c r="A88" s="384" t="s">
        <v>270</v>
      </c>
      <c r="B88" s="384" t="s">
        <v>1479</v>
      </c>
      <c r="C88" s="384" t="s">
        <v>275</v>
      </c>
      <c r="D88" s="384">
        <v>32</v>
      </c>
      <c r="E88" s="406" t="s">
        <v>150</v>
      </c>
    </row>
    <row r="89" spans="1:12">
      <c r="A89" s="384" t="s">
        <v>270</v>
      </c>
      <c r="B89" s="384" t="s">
        <v>1479</v>
      </c>
      <c r="C89" s="384" t="s">
        <v>276</v>
      </c>
      <c r="D89" s="384">
        <v>8</v>
      </c>
      <c r="E89" s="406" t="s">
        <v>150</v>
      </c>
    </row>
    <row r="90" spans="1:12">
      <c r="A90" s="384" t="s">
        <v>270</v>
      </c>
      <c r="B90" s="384" t="s">
        <v>1479</v>
      </c>
      <c r="C90" s="384" t="s">
        <v>277</v>
      </c>
      <c r="D90" s="384">
        <v>1</v>
      </c>
      <c r="E90" s="406" t="s">
        <v>150</v>
      </c>
    </row>
    <row r="91" spans="1:12">
      <c r="A91" s="384" t="s">
        <v>270</v>
      </c>
      <c r="B91" s="384" t="s">
        <v>1479</v>
      </c>
      <c r="C91" s="384" t="s">
        <v>278</v>
      </c>
      <c r="D91" s="384">
        <v>0</v>
      </c>
      <c r="E91" s="406" t="s">
        <v>150</v>
      </c>
    </row>
    <row r="92" spans="1:12">
      <c r="A92" s="384" t="s">
        <v>227</v>
      </c>
      <c r="B92" s="384" t="s">
        <v>1478</v>
      </c>
      <c r="C92" s="384" t="s">
        <v>261</v>
      </c>
      <c r="D92" s="384">
        <v>2878</v>
      </c>
      <c r="E92" s="406" t="s">
        <v>157</v>
      </c>
    </row>
    <row r="93" spans="1:12">
      <c r="A93" s="384" t="s">
        <v>227</v>
      </c>
      <c r="B93" s="384" t="s">
        <v>1478</v>
      </c>
      <c r="C93" s="384" t="s">
        <v>264</v>
      </c>
      <c r="D93" s="384">
        <v>564</v>
      </c>
      <c r="E93" s="406" t="s">
        <v>157</v>
      </c>
    </row>
    <row r="94" spans="1:12">
      <c r="A94" s="384" t="s">
        <v>227</v>
      </c>
      <c r="B94" s="384" t="s">
        <v>1478</v>
      </c>
      <c r="C94" s="384" t="s">
        <v>265</v>
      </c>
      <c r="D94" s="384">
        <v>51</v>
      </c>
      <c r="E94" s="406" t="s">
        <v>157</v>
      </c>
    </row>
    <row r="95" spans="1:12">
      <c r="A95" s="384" t="s">
        <v>227</v>
      </c>
      <c r="B95" s="384" t="s">
        <v>1478</v>
      </c>
      <c r="C95" s="384" t="s">
        <v>266</v>
      </c>
      <c r="D95" s="384">
        <v>91</v>
      </c>
      <c r="E95" s="406" t="s">
        <v>157</v>
      </c>
    </row>
    <row r="96" spans="1:12">
      <c r="A96" s="384" t="s">
        <v>227</v>
      </c>
      <c r="B96" s="384" t="s">
        <v>1478</v>
      </c>
      <c r="C96" s="384" t="s">
        <v>267</v>
      </c>
      <c r="D96" s="384">
        <v>14</v>
      </c>
      <c r="E96" s="406" t="s">
        <v>157</v>
      </c>
    </row>
    <row r="97" spans="1:5">
      <c r="A97" s="384" t="s">
        <v>227</v>
      </c>
      <c r="B97" s="384" t="s">
        <v>1478</v>
      </c>
      <c r="C97" s="384" t="s">
        <v>268</v>
      </c>
      <c r="D97" s="384">
        <v>0</v>
      </c>
      <c r="E97" s="406" t="s">
        <v>157</v>
      </c>
    </row>
    <row r="98" spans="1:5">
      <c r="A98" s="384" t="s">
        <v>227</v>
      </c>
      <c r="B98" s="384" t="s">
        <v>1478</v>
      </c>
      <c r="C98" s="384" t="s">
        <v>269</v>
      </c>
      <c r="D98" s="384">
        <v>0</v>
      </c>
      <c r="E98" s="406" t="s">
        <v>157</v>
      </c>
    </row>
    <row r="99" spans="1:5">
      <c r="A99" s="384" t="s">
        <v>270</v>
      </c>
      <c r="B99" s="384" t="s">
        <v>1478</v>
      </c>
      <c r="C99" s="384" t="s">
        <v>261</v>
      </c>
      <c r="D99" s="384">
        <v>4012</v>
      </c>
      <c r="E99" s="406" t="s">
        <v>157</v>
      </c>
    </row>
    <row r="100" spans="1:5">
      <c r="A100" s="384" t="s">
        <v>270</v>
      </c>
      <c r="B100" s="384" t="s">
        <v>1478</v>
      </c>
      <c r="C100" s="384" t="s">
        <v>264</v>
      </c>
      <c r="D100" s="384">
        <v>673</v>
      </c>
      <c r="E100" s="406" t="s">
        <v>157</v>
      </c>
    </row>
    <row r="101" spans="1:5">
      <c r="A101" s="384" t="s">
        <v>270</v>
      </c>
      <c r="B101" s="384" t="s">
        <v>1478</v>
      </c>
      <c r="C101" s="384" t="s">
        <v>265</v>
      </c>
      <c r="D101" s="384">
        <v>225</v>
      </c>
      <c r="E101" s="406" t="s">
        <v>157</v>
      </c>
    </row>
    <row r="102" spans="1:5">
      <c r="A102" s="384" t="s">
        <v>270</v>
      </c>
      <c r="B102" s="384" t="s">
        <v>1478</v>
      </c>
      <c r="C102" s="384" t="s">
        <v>266</v>
      </c>
      <c r="D102" s="384">
        <v>164</v>
      </c>
      <c r="E102" s="406" t="s">
        <v>157</v>
      </c>
    </row>
    <row r="103" spans="1:5">
      <c r="A103" s="384" t="s">
        <v>270</v>
      </c>
      <c r="B103" s="384" t="s">
        <v>1478</v>
      </c>
      <c r="C103" s="384" t="s">
        <v>267</v>
      </c>
      <c r="D103" s="384">
        <v>83</v>
      </c>
      <c r="E103" s="406" t="s">
        <v>157</v>
      </c>
    </row>
    <row r="104" spans="1:5">
      <c r="A104" s="384" t="s">
        <v>270</v>
      </c>
      <c r="B104" s="384" t="s">
        <v>1478</v>
      </c>
      <c r="C104" s="384" t="s">
        <v>268</v>
      </c>
      <c r="D104" s="384">
        <v>5</v>
      </c>
      <c r="E104" s="406" t="s">
        <v>157</v>
      </c>
    </row>
    <row r="105" spans="1:5">
      <c r="A105" s="384" t="s">
        <v>270</v>
      </c>
      <c r="B105" s="384" t="s">
        <v>1478</v>
      </c>
      <c r="C105" s="384" t="s">
        <v>269</v>
      </c>
      <c r="D105" s="384">
        <v>1</v>
      </c>
      <c r="E105" s="406" t="s">
        <v>157</v>
      </c>
    </row>
    <row r="106" spans="1:5">
      <c r="A106" s="384" t="s">
        <v>227</v>
      </c>
      <c r="B106" s="384" t="s">
        <v>1479</v>
      </c>
      <c r="C106" s="384" t="s">
        <v>271</v>
      </c>
      <c r="D106" s="384">
        <v>2</v>
      </c>
      <c r="E106" s="406" t="s">
        <v>157</v>
      </c>
    </row>
    <row r="107" spans="1:5">
      <c r="A107" s="384" t="s">
        <v>227</v>
      </c>
      <c r="B107" s="384" t="s">
        <v>1479</v>
      </c>
      <c r="C107" s="384" t="s">
        <v>272</v>
      </c>
      <c r="D107" s="384">
        <v>928</v>
      </c>
      <c r="E107" s="406" t="s">
        <v>157</v>
      </c>
    </row>
    <row r="108" spans="1:5">
      <c r="A108" s="384" t="s">
        <v>227</v>
      </c>
      <c r="B108" s="384" t="s">
        <v>1479</v>
      </c>
      <c r="C108" s="384" t="s">
        <v>273</v>
      </c>
      <c r="D108" s="384">
        <v>367</v>
      </c>
      <c r="E108" s="406" t="s">
        <v>157</v>
      </c>
    </row>
    <row r="109" spans="1:5">
      <c r="A109" s="384" t="s">
        <v>227</v>
      </c>
      <c r="B109" s="384" t="s">
        <v>1479</v>
      </c>
      <c r="C109" s="384" t="s">
        <v>274</v>
      </c>
      <c r="D109" s="384">
        <v>82</v>
      </c>
      <c r="E109" s="406" t="s">
        <v>157</v>
      </c>
    </row>
    <row r="110" spans="1:5">
      <c r="A110" s="384" t="s">
        <v>227</v>
      </c>
      <c r="B110" s="384" t="s">
        <v>1479</v>
      </c>
      <c r="C110" s="384" t="s">
        <v>275</v>
      </c>
      <c r="D110" s="384">
        <v>23</v>
      </c>
      <c r="E110" s="406" t="s">
        <v>157</v>
      </c>
    </row>
    <row r="111" spans="1:5">
      <c r="A111" s="384" t="s">
        <v>227</v>
      </c>
      <c r="B111" s="384" t="s">
        <v>1479</v>
      </c>
      <c r="C111" s="384" t="s">
        <v>276</v>
      </c>
      <c r="D111" s="384">
        <v>12</v>
      </c>
      <c r="E111" s="406" t="s">
        <v>157</v>
      </c>
    </row>
    <row r="112" spans="1:5">
      <c r="A112" s="384" t="s">
        <v>227</v>
      </c>
      <c r="B112" s="384" t="s">
        <v>1479</v>
      </c>
      <c r="C112" s="384" t="s">
        <v>277</v>
      </c>
      <c r="D112" s="384">
        <v>3</v>
      </c>
      <c r="E112" s="406" t="s">
        <v>157</v>
      </c>
    </row>
    <row r="113" spans="1:5">
      <c r="A113" s="384" t="s">
        <v>227</v>
      </c>
      <c r="B113" s="384" t="s">
        <v>1479</v>
      </c>
      <c r="C113" s="384" t="s">
        <v>278</v>
      </c>
      <c r="D113" s="384">
        <v>0</v>
      </c>
      <c r="E113" s="406" t="s">
        <v>157</v>
      </c>
    </row>
    <row r="114" spans="1:5">
      <c r="A114" s="384" t="s">
        <v>270</v>
      </c>
      <c r="B114" s="384" t="s">
        <v>1479</v>
      </c>
      <c r="C114" s="384" t="s">
        <v>271</v>
      </c>
      <c r="D114" s="384">
        <v>1</v>
      </c>
      <c r="E114" s="406" t="s">
        <v>157</v>
      </c>
    </row>
    <row r="115" spans="1:5">
      <c r="A115" s="384" t="s">
        <v>270</v>
      </c>
      <c r="B115" s="384" t="s">
        <v>1479</v>
      </c>
      <c r="C115" s="384" t="s">
        <v>272</v>
      </c>
      <c r="D115" s="384">
        <v>355</v>
      </c>
      <c r="E115" s="406" t="s">
        <v>157</v>
      </c>
    </row>
    <row r="116" spans="1:5">
      <c r="A116" s="384" t="s">
        <v>270</v>
      </c>
      <c r="B116" s="384" t="s">
        <v>1479</v>
      </c>
      <c r="C116" s="384" t="s">
        <v>273</v>
      </c>
      <c r="D116" s="384">
        <v>108</v>
      </c>
      <c r="E116" s="406" t="s">
        <v>157</v>
      </c>
    </row>
    <row r="117" spans="1:5">
      <c r="A117" s="384" t="s">
        <v>270</v>
      </c>
      <c r="B117" s="384" t="s">
        <v>1479</v>
      </c>
      <c r="C117" s="384" t="s">
        <v>274</v>
      </c>
      <c r="D117" s="384">
        <v>78</v>
      </c>
      <c r="E117" s="406" t="s">
        <v>157</v>
      </c>
    </row>
    <row r="118" spans="1:5">
      <c r="A118" s="384" t="s">
        <v>270</v>
      </c>
      <c r="B118" s="384" t="s">
        <v>1479</v>
      </c>
      <c r="C118" s="384" t="s">
        <v>275</v>
      </c>
      <c r="D118" s="384">
        <v>28</v>
      </c>
      <c r="E118" s="406" t="s">
        <v>157</v>
      </c>
    </row>
    <row r="119" spans="1:5">
      <c r="A119" s="384" t="s">
        <v>270</v>
      </c>
      <c r="B119" s="384" t="s">
        <v>1479</v>
      </c>
      <c r="C119" s="384" t="s">
        <v>276</v>
      </c>
      <c r="D119" s="384">
        <v>5</v>
      </c>
      <c r="E119" s="406" t="s">
        <v>157</v>
      </c>
    </row>
    <row r="120" spans="1:5">
      <c r="A120" s="384" t="s">
        <v>270</v>
      </c>
      <c r="B120" s="384" t="s">
        <v>1479</v>
      </c>
      <c r="C120" s="384" t="s">
        <v>277</v>
      </c>
      <c r="D120" s="384">
        <v>1</v>
      </c>
      <c r="E120" s="406" t="s">
        <v>157</v>
      </c>
    </row>
    <row r="121" spans="1:5">
      <c r="A121" s="384" t="s">
        <v>270</v>
      </c>
      <c r="B121" s="384" t="s">
        <v>1479</v>
      </c>
      <c r="C121" s="384" t="s">
        <v>278</v>
      </c>
      <c r="D121" s="384">
        <v>0</v>
      </c>
      <c r="E121" s="406" t="s">
        <v>157</v>
      </c>
    </row>
    <row r="122" spans="1:5">
      <c r="A122" s="384" t="s">
        <v>227</v>
      </c>
      <c r="B122" s="384" t="s">
        <v>1478</v>
      </c>
      <c r="C122" s="384" t="s">
        <v>261</v>
      </c>
      <c r="D122" s="384">
        <v>2651</v>
      </c>
      <c r="E122" s="406" t="s">
        <v>243</v>
      </c>
    </row>
    <row r="123" spans="1:5">
      <c r="A123" s="384" t="s">
        <v>227</v>
      </c>
      <c r="B123" s="384" t="s">
        <v>1478</v>
      </c>
      <c r="C123" s="384" t="s">
        <v>264</v>
      </c>
      <c r="D123" s="384">
        <v>472</v>
      </c>
      <c r="E123" s="406" t="s">
        <v>243</v>
      </c>
    </row>
    <row r="124" spans="1:5">
      <c r="A124" s="384" t="s">
        <v>227</v>
      </c>
      <c r="B124" s="384" t="s">
        <v>1478</v>
      </c>
      <c r="C124" s="384" t="s">
        <v>265</v>
      </c>
      <c r="D124" s="384">
        <v>23</v>
      </c>
      <c r="E124" s="406" t="s">
        <v>243</v>
      </c>
    </row>
    <row r="125" spans="1:5">
      <c r="A125" s="384" t="s">
        <v>227</v>
      </c>
      <c r="B125" s="384" t="s">
        <v>1478</v>
      </c>
      <c r="C125" s="384" t="s">
        <v>266</v>
      </c>
      <c r="D125" s="384">
        <v>84</v>
      </c>
      <c r="E125" s="406" t="s">
        <v>243</v>
      </c>
    </row>
    <row r="126" spans="1:5">
      <c r="A126" s="384" t="s">
        <v>227</v>
      </c>
      <c r="B126" s="384" t="s">
        <v>1478</v>
      </c>
      <c r="C126" s="384" t="s">
        <v>267</v>
      </c>
      <c r="D126" s="384">
        <v>12</v>
      </c>
      <c r="E126" s="406" t="s">
        <v>243</v>
      </c>
    </row>
    <row r="127" spans="1:5">
      <c r="A127" s="384" t="s">
        <v>227</v>
      </c>
      <c r="B127" s="384" t="s">
        <v>1478</v>
      </c>
      <c r="C127" s="384" t="s">
        <v>268</v>
      </c>
      <c r="D127" s="384">
        <v>0</v>
      </c>
      <c r="E127" s="406" t="s">
        <v>243</v>
      </c>
    </row>
    <row r="128" spans="1:5">
      <c r="A128" s="384" t="s">
        <v>227</v>
      </c>
      <c r="B128" s="384" t="s">
        <v>1478</v>
      </c>
      <c r="C128" s="384" t="s">
        <v>269</v>
      </c>
      <c r="D128" s="384">
        <v>0</v>
      </c>
      <c r="E128" s="406" t="s">
        <v>243</v>
      </c>
    </row>
    <row r="129" spans="1:5">
      <c r="A129" s="384" t="s">
        <v>270</v>
      </c>
      <c r="B129" s="384" t="s">
        <v>1478</v>
      </c>
      <c r="C129" s="384" t="s">
        <v>261</v>
      </c>
      <c r="D129" s="384">
        <v>3417</v>
      </c>
      <c r="E129" s="406" t="s">
        <v>243</v>
      </c>
    </row>
    <row r="130" spans="1:5">
      <c r="A130" s="384" t="s">
        <v>270</v>
      </c>
      <c r="B130" s="384" t="s">
        <v>1478</v>
      </c>
      <c r="C130" s="384" t="s">
        <v>264</v>
      </c>
      <c r="D130" s="384">
        <v>567</v>
      </c>
      <c r="E130" s="406" t="s">
        <v>243</v>
      </c>
    </row>
    <row r="131" spans="1:5">
      <c r="A131" s="384" t="s">
        <v>270</v>
      </c>
      <c r="B131" s="384" t="s">
        <v>1478</v>
      </c>
      <c r="C131" s="384" t="s">
        <v>265</v>
      </c>
      <c r="D131" s="384">
        <v>205</v>
      </c>
      <c r="E131" s="406" t="s">
        <v>243</v>
      </c>
    </row>
    <row r="132" spans="1:5">
      <c r="A132" s="384" t="s">
        <v>270</v>
      </c>
      <c r="B132" s="384" t="s">
        <v>1478</v>
      </c>
      <c r="C132" s="384" t="s">
        <v>266</v>
      </c>
      <c r="D132" s="384">
        <v>150</v>
      </c>
      <c r="E132" s="406" t="s">
        <v>243</v>
      </c>
    </row>
    <row r="133" spans="1:5">
      <c r="A133" s="384" t="s">
        <v>270</v>
      </c>
      <c r="B133" s="384" t="s">
        <v>1478</v>
      </c>
      <c r="C133" s="384" t="s">
        <v>267</v>
      </c>
      <c r="D133" s="384">
        <v>57</v>
      </c>
      <c r="E133" s="406" t="s">
        <v>243</v>
      </c>
    </row>
    <row r="134" spans="1:5">
      <c r="A134" s="384" t="s">
        <v>270</v>
      </c>
      <c r="B134" s="384" t="s">
        <v>1478</v>
      </c>
      <c r="C134" s="384" t="s">
        <v>268</v>
      </c>
      <c r="D134" s="384">
        <v>4</v>
      </c>
      <c r="E134" s="406" t="s">
        <v>243</v>
      </c>
    </row>
    <row r="135" spans="1:5">
      <c r="A135" s="384" t="s">
        <v>270</v>
      </c>
      <c r="B135" s="384" t="s">
        <v>1478</v>
      </c>
      <c r="C135" s="384" t="s">
        <v>269</v>
      </c>
      <c r="D135" s="384">
        <v>1</v>
      </c>
      <c r="E135" s="406" t="s">
        <v>243</v>
      </c>
    </row>
    <row r="136" spans="1:5">
      <c r="A136" s="384" t="s">
        <v>227</v>
      </c>
      <c r="B136" s="384" t="s">
        <v>1479</v>
      </c>
      <c r="C136" s="384" t="s">
        <v>271</v>
      </c>
      <c r="D136" s="384">
        <v>2</v>
      </c>
      <c r="E136" s="406" t="s">
        <v>243</v>
      </c>
    </row>
    <row r="137" spans="1:5">
      <c r="A137" s="384" t="s">
        <v>227</v>
      </c>
      <c r="B137" s="384" t="s">
        <v>1479</v>
      </c>
      <c r="C137" s="384" t="s">
        <v>272</v>
      </c>
      <c r="D137" s="384">
        <v>918</v>
      </c>
      <c r="E137" s="406" t="s">
        <v>243</v>
      </c>
    </row>
    <row r="138" spans="1:5">
      <c r="A138" s="384" t="s">
        <v>227</v>
      </c>
      <c r="B138" s="384" t="s">
        <v>1479</v>
      </c>
      <c r="C138" s="384" t="s">
        <v>273</v>
      </c>
      <c r="D138" s="384">
        <v>365</v>
      </c>
      <c r="E138" s="406" t="s">
        <v>243</v>
      </c>
    </row>
    <row r="139" spans="1:5">
      <c r="A139" s="384" t="s">
        <v>227</v>
      </c>
      <c r="B139" s="384" t="s">
        <v>1479</v>
      </c>
      <c r="C139" s="384" t="s">
        <v>274</v>
      </c>
      <c r="D139" s="384">
        <v>82</v>
      </c>
      <c r="E139" s="406" t="s">
        <v>243</v>
      </c>
    </row>
    <row r="140" spans="1:5">
      <c r="A140" s="384" t="s">
        <v>227</v>
      </c>
      <c r="B140" s="384" t="s">
        <v>1479</v>
      </c>
      <c r="C140" s="384" t="s">
        <v>275</v>
      </c>
      <c r="D140" s="384">
        <v>23</v>
      </c>
      <c r="E140" s="406" t="s">
        <v>243</v>
      </c>
    </row>
    <row r="141" spans="1:5">
      <c r="A141" s="384" t="s">
        <v>227</v>
      </c>
      <c r="B141" s="384" t="s">
        <v>1479</v>
      </c>
      <c r="C141" s="384" t="s">
        <v>276</v>
      </c>
      <c r="D141" s="384">
        <v>12</v>
      </c>
      <c r="E141" s="406" t="s">
        <v>243</v>
      </c>
    </row>
    <row r="142" spans="1:5">
      <c r="A142" s="384" t="s">
        <v>227</v>
      </c>
      <c r="B142" s="384" t="s">
        <v>1479</v>
      </c>
      <c r="C142" s="384" t="s">
        <v>277</v>
      </c>
      <c r="D142" s="384">
        <v>3</v>
      </c>
      <c r="E142" s="406" t="s">
        <v>243</v>
      </c>
    </row>
    <row r="143" spans="1:5">
      <c r="A143" s="384" t="s">
        <v>227</v>
      </c>
      <c r="B143" s="384" t="s">
        <v>1479</v>
      </c>
      <c r="C143" s="384" t="s">
        <v>278</v>
      </c>
      <c r="D143" s="384">
        <v>0</v>
      </c>
      <c r="E143" s="406" t="s">
        <v>243</v>
      </c>
    </row>
    <row r="144" spans="1:5">
      <c r="A144" s="384" t="s">
        <v>270</v>
      </c>
      <c r="B144" s="384" t="s">
        <v>1479</v>
      </c>
      <c r="C144" s="384" t="s">
        <v>271</v>
      </c>
      <c r="D144" s="384">
        <v>1</v>
      </c>
      <c r="E144" s="406" t="s">
        <v>243</v>
      </c>
    </row>
    <row r="145" spans="1:5">
      <c r="A145" s="384" t="s">
        <v>270</v>
      </c>
      <c r="B145" s="384" t="s">
        <v>1479</v>
      </c>
      <c r="C145" s="384" t="s">
        <v>272</v>
      </c>
      <c r="D145" s="384">
        <v>155</v>
      </c>
      <c r="E145" s="406" t="s">
        <v>243</v>
      </c>
    </row>
    <row r="146" spans="1:5">
      <c r="A146" s="384" t="s">
        <v>270</v>
      </c>
      <c r="B146" s="384" t="s">
        <v>1479</v>
      </c>
      <c r="C146" s="384" t="s">
        <v>273</v>
      </c>
      <c r="D146" s="384">
        <v>78</v>
      </c>
      <c r="E146" s="406" t="s">
        <v>243</v>
      </c>
    </row>
    <row r="147" spans="1:5">
      <c r="A147" s="384" t="s">
        <v>270</v>
      </c>
      <c r="B147" s="384" t="s">
        <v>1479</v>
      </c>
      <c r="C147" s="384" t="s">
        <v>274</v>
      </c>
      <c r="D147" s="384">
        <v>66</v>
      </c>
      <c r="E147" s="406" t="s">
        <v>243</v>
      </c>
    </row>
    <row r="148" spans="1:5">
      <c r="A148" s="384" t="s">
        <v>270</v>
      </c>
      <c r="B148" s="384" t="s">
        <v>1479</v>
      </c>
      <c r="C148" s="384" t="s">
        <v>275</v>
      </c>
      <c r="D148" s="384">
        <v>25</v>
      </c>
      <c r="E148" s="406" t="s">
        <v>243</v>
      </c>
    </row>
    <row r="149" spans="1:5">
      <c r="A149" s="384" t="s">
        <v>270</v>
      </c>
      <c r="B149" s="384" t="s">
        <v>1479</v>
      </c>
      <c r="C149" s="384" t="s">
        <v>276</v>
      </c>
      <c r="D149" s="384">
        <v>4</v>
      </c>
      <c r="E149" s="406" t="s">
        <v>243</v>
      </c>
    </row>
    <row r="150" spans="1:5">
      <c r="A150" s="384" t="s">
        <v>270</v>
      </c>
      <c r="B150" s="384" t="s">
        <v>1479</v>
      </c>
      <c r="C150" s="384" t="s">
        <v>277</v>
      </c>
      <c r="D150" s="384">
        <v>0</v>
      </c>
      <c r="E150" s="406" t="s">
        <v>243</v>
      </c>
    </row>
    <row r="151" spans="1:5">
      <c r="A151" s="384" t="s">
        <v>270</v>
      </c>
      <c r="B151" s="384" t="s">
        <v>1479</v>
      </c>
      <c r="C151" s="384" t="s">
        <v>278</v>
      </c>
      <c r="D151" s="384">
        <v>0</v>
      </c>
      <c r="E151" s="406" t="s">
        <v>243</v>
      </c>
    </row>
    <row r="152" spans="1:5">
      <c r="A152" s="384" t="s">
        <v>227</v>
      </c>
      <c r="B152" s="384" t="s">
        <v>1478</v>
      </c>
      <c r="C152" s="384" t="s">
        <v>261</v>
      </c>
      <c r="D152" s="384">
        <v>1755</v>
      </c>
      <c r="E152" s="406" t="s">
        <v>1437</v>
      </c>
    </row>
    <row r="153" spans="1:5">
      <c r="A153" s="384" t="s">
        <v>227</v>
      </c>
      <c r="B153" s="384" t="s">
        <v>1478</v>
      </c>
      <c r="C153" s="384" t="s">
        <v>264</v>
      </c>
      <c r="D153" s="384">
        <v>252</v>
      </c>
      <c r="E153" s="406" t="s">
        <v>1437</v>
      </c>
    </row>
    <row r="154" spans="1:5">
      <c r="A154" s="384" t="s">
        <v>227</v>
      </c>
      <c r="B154" s="384" t="s">
        <v>1478</v>
      </c>
      <c r="C154" s="384" t="s">
        <v>265</v>
      </c>
      <c r="D154" s="384">
        <v>7</v>
      </c>
      <c r="E154" s="406" t="s">
        <v>1437</v>
      </c>
    </row>
    <row r="155" spans="1:5">
      <c r="A155" s="384" t="s">
        <v>227</v>
      </c>
      <c r="B155" s="384" t="s">
        <v>1478</v>
      </c>
      <c r="C155" s="384" t="s">
        <v>266</v>
      </c>
      <c r="D155" s="384">
        <v>77</v>
      </c>
      <c r="E155" s="406" t="s">
        <v>1437</v>
      </c>
    </row>
    <row r="156" spans="1:5">
      <c r="A156" s="384" t="s">
        <v>227</v>
      </c>
      <c r="B156" s="384" t="s">
        <v>1478</v>
      </c>
      <c r="C156" s="384" t="s">
        <v>267</v>
      </c>
      <c r="D156" s="384">
        <v>12</v>
      </c>
      <c r="E156" s="406" t="s">
        <v>1437</v>
      </c>
    </row>
    <row r="157" spans="1:5">
      <c r="A157" s="384" t="s">
        <v>227</v>
      </c>
      <c r="B157" s="384" t="s">
        <v>1478</v>
      </c>
      <c r="C157" s="384" t="s">
        <v>268</v>
      </c>
      <c r="D157" s="384">
        <v>0</v>
      </c>
      <c r="E157" s="406" t="s">
        <v>1437</v>
      </c>
    </row>
    <row r="158" spans="1:5">
      <c r="A158" s="384" t="s">
        <v>227</v>
      </c>
      <c r="B158" s="384" t="s">
        <v>1478</v>
      </c>
      <c r="C158" s="384" t="s">
        <v>269</v>
      </c>
      <c r="D158" s="384">
        <v>0</v>
      </c>
      <c r="E158" s="406" t="s">
        <v>1437</v>
      </c>
    </row>
    <row r="159" spans="1:5">
      <c r="A159" s="384" t="s">
        <v>270</v>
      </c>
      <c r="B159" s="384" t="s">
        <v>1478</v>
      </c>
      <c r="C159" s="384" t="s">
        <v>261</v>
      </c>
      <c r="D159" s="384">
        <v>3696</v>
      </c>
      <c r="E159" s="406" t="s">
        <v>1437</v>
      </c>
    </row>
    <row r="160" spans="1:5">
      <c r="A160" s="384" t="s">
        <v>270</v>
      </c>
      <c r="B160" s="384" t="s">
        <v>1478</v>
      </c>
      <c r="C160" s="384" t="s">
        <v>264</v>
      </c>
      <c r="D160" s="384">
        <v>849</v>
      </c>
      <c r="E160" s="406" t="s">
        <v>1437</v>
      </c>
    </row>
    <row r="161" spans="1:5">
      <c r="A161" s="384" t="s">
        <v>270</v>
      </c>
      <c r="B161" s="384" t="s">
        <v>1478</v>
      </c>
      <c r="C161" s="384" t="s">
        <v>265</v>
      </c>
      <c r="D161" s="384">
        <v>220</v>
      </c>
      <c r="E161" s="406" t="s">
        <v>1437</v>
      </c>
    </row>
    <row r="162" spans="1:5">
      <c r="A162" s="384" t="s">
        <v>270</v>
      </c>
      <c r="B162" s="384" t="s">
        <v>1478</v>
      </c>
      <c r="C162" s="384" t="s">
        <v>266</v>
      </c>
      <c r="D162" s="384">
        <v>150</v>
      </c>
      <c r="E162" s="406" t="s">
        <v>1437</v>
      </c>
    </row>
    <row r="163" spans="1:5">
      <c r="A163" s="384" t="s">
        <v>270</v>
      </c>
      <c r="B163" s="384" t="s">
        <v>1478</v>
      </c>
      <c r="C163" s="384" t="s">
        <v>267</v>
      </c>
      <c r="D163" s="384">
        <v>64</v>
      </c>
      <c r="E163" s="406" t="s">
        <v>1437</v>
      </c>
    </row>
    <row r="164" spans="1:5">
      <c r="A164" s="384" t="s">
        <v>270</v>
      </c>
      <c r="B164" s="384" t="s">
        <v>1478</v>
      </c>
      <c r="C164" s="384" t="s">
        <v>268</v>
      </c>
      <c r="D164" s="384">
        <v>7</v>
      </c>
      <c r="E164" s="406" t="s">
        <v>1437</v>
      </c>
    </row>
    <row r="165" spans="1:5">
      <c r="A165" s="384" t="s">
        <v>270</v>
      </c>
      <c r="B165" s="384" t="s">
        <v>1478</v>
      </c>
      <c r="C165" s="384" t="s">
        <v>269</v>
      </c>
      <c r="D165" s="384">
        <v>0</v>
      </c>
      <c r="E165" s="406" t="s">
        <v>1437</v>
      </c>
    </row>
    <row r="166" spans="1:5">
      <c r="A166" s="384" t="s">
        <v>227</v>
      </c>
      <c r="B166" s="384" t="s">
        <v>1479</v>
      </c>
      <c r="C166" s="384" t="s">
        <v>271</v>
      </c>
      <c r="D166" s="384">
        <v>1</v>
      </c>
      <c r="E166" s="406" t="s">
        <v>1437</v>
      </c>
    </row>
    <row r="167" spans="1:5">
      <c r="A167" s="384" t="s">
        <v>227</v>
      </c>
      <c r="B167" s="384" t="s">
        <v>1479</v>
      </c>
      <c r="C167" s="384" t="s">
        <v>272</v>
      </c>
      <c r="D167" s="384">
        <v>657</v>
      </c>
      <c r="E167" s="406" t="s">
        <v>1437</v>
      </c>
    </row>
    <row r="168" spans="1:5">
      <c r="A168" s="384" t="s">
        <v>227</v>
      </c>
      <c r="B168" s="384" t="s">
        <v>1479</v>
      </c>
      <c r="C168" s="384" t="s">
        <v>273</v>
      </c>
      <c r="D168" s="384">
        <v>365</v>
      </c>
      <c r="E168" s="406" t="s">
        <v>1437</v>
      </c>
    </row>
    <row r="169" spans="1:5">
      <c r="A169" s="384" t="s">
        <v>227</v>
      </c>
      <c r="B169" s="384" t="s">
        <v>1479</v>
      </c>
      <c r="C169" s="384" t="s">
        <v>274</v>
      </c>
      <c r="D169" s="384">
        <v>82</v>
      </c>
      <c r="E169" s="406" t="s">
        <v>1437</v>
      </c>
    </row>
    <row r="170" spans="1:5">
      <c r="A170" s="384" t="s">
        <v>227</v>
      </c>
      <c r="B170" s="384" t="s">
        <v>1479</v>
      </c>
      <c r="C170" s="384" t="s">
        <v>275</v>
      </c>
      <c r="D170" s="384">
        <v>23</v>
      </c>
      <c r="E170" s="406" t="s">
        <v>1437</v>
      </c>
    </row>
    <row r="171" spans="1:5">
      <c r="A171" s="384" t="s">
        <v>227</v>
      </c>
      <c r="B171" s="384" t="s">
        <v>1479</v>
      </c>
      <c r="C171" s="384" t="s">
        <v>276</v>
      </c>
      <c r="D171" s="384">
        <v>12</v>
      </c>
      <c r="E171" s="406" t="s">
        <v>1437</v>
      </c>
    </row>
    <row r="172" spans="1:5">
      <c r="A172" s="384" t="s">
        <v>227</v>
      </c>
      <c r="B172" s="384" t="s">
        <v>1479</v>
      </c>
      <c r="C172" s="384" t="s">
        <v>277</v>
      </c>
      <c r="D172" s="384">
        <v>3</v>
      </c>
      <c r="E172" s="406" t="s">
        <v>1437</v>
      </c>
    </row>
    <row r="173" spans="1:5">
      <c r="A173" s="384" t="s">
        <v>227</v>
      </c>
      <c r="B173" s="384" t="s">
        <v>1479</v>
      </c>
      <c r="C173" s="384" t="s">
        <v>278</v>
      </c>
      <c r="D173" s="384">
        <v>0</v>
      </c>
      <c r="E173" s="406" t="s">
        <v>1437</v>
      </c>
    </row>
    <row r="174" spans="1:5">
      <c r="A174" s="384" t="s">
        <v>270</v>
      </c>
      <c r="B174" s="384" t="s">
        <v>1479</v>
      </c>
      <c r="C174" s="384" t="s">
        <v>271</v>
      </c>
      <c r="D174" s="384">
        <v>2</v>
      </c>
      <c r="E174" s="406" t="s">
        <v>1437</v>
      </c>
    </row>
    <row r="175" spans="1:5">
      <c r="A175" s="384" t="s">
        <v>270</v>
      </c>
      <c r="B175" s="384" t="s">
        <v>1479</v>
      </c>
      <c r="C175" s="384" t="s">
        <v>272</v>
      </c>
      <c r="D175" s="384">
        <v>325</v>
      </c>
      <c r="E175" s="406" t="s">
        <v>1437</v>
      </c>
    </row>
    <row r="176" spans="1:5">
      <c r="A176" s="384" t="s">
        <v>270</v>
      </c>
      <c r="B176" s="384" t="s">
        <v>1479</v>
      </c>
      <c r="C176" s="384" t="s">
        <v>273</v>
      </c>
      <c r="D176" s="384">
        <v>88</v>
      </c>
      <c r="E176" s="406" t="s">
        <v>1437</v>
      </c>
    </row>
    <row r="177" spans="1:5">
      <c r="A177" s="384" t="s">
        <v>270</v>
      </c>
      <c r="B177" s="384" t="s">
        <v>1479</v>
      </c>
      <c r="C177" s="384" t="s">
        <v>274</v>
      </c>
      <c r="D177" s="384">
        <v>66</v>
      </c>
      <c r="E177" s="406" t="s">
        <v>1437</v>
      </c>
    </row>
    <row r="178" spans="1:5">
      <c r="A178" s="384" t="s">
        <v>270</v>
      </c>
      <c r="B178" s="384" t="s">
        <v>1479</v>
      </c>
      <c r="C178" s="384" t="s">
        <v>275</v>
      </c>
      <c r="D178" s="384">
        <v>25</v>
      </c>
      <c r="E178" s="406" t="s">
        <v>1437</v>
      </c>
    </row>
    <row r="179" spans="1:5">
      <c r="A179" s="384" t="s">
        <v>270</v>
      </c>
      <c r="B179" s="384" t="s">
        <v>1479</v>
      </c>
      <c r="C179" s="384" t="s">
        <v>276</v>
      </c>
      <c r="D179" s="384">
        <v>4</v>
      </c>
      <c r="E179" s="406" t="s">
        <v>1437</v>
      </c>
    </row>
    <row r="180" spans="1:5">
      <c r="A180" s="384" t="s">
        <v>270</v>
      </c>
      <c r="B180" s="384" t="s">
        <v>1479</v>
      </c>
      <c r="C180" s="384" t="s">
        <v>277</v>
      </c>
      <c r="D180" s="384">
        <v>0</v>
      </c>
      <c r="E180" s="406" t="s">
        <v>1437</v>
      </c>
    </row>
    <row r="181" spans="1:5">
      <c r="A181" s="384" t="s">
        <v>270</v>
      </c>
      <c r="B181" s="384" t="s">
        <v>1479</v>
      </c>
      <c r="C181" s="384" t="s">
        <v>278</v>
      </c>
      <c r="D181" s="384">
        <v>0</v>
      </c>
      <c r="E181" s="406" t="s">
        <v>1437</v>
      </c>
    </row>
    <row r="182" spans="1:5">
      <c r="A182" s="384" t="s">
        <v>227</v>
      </c>
      <c r="B182" s="384" t="s">
        <v>1478</v>
      </c>
      <c r="C182" s="384" t="s">
        <v>261</v>
      </c>
      <c r="D182" s="384">
        <v>1040</v>
      </c>
      <c r="E182" s="406" t="s">
        <v>1448</v>
      </c>
    </row>
    <row r="183" spans="1:5">
      <c r="A183" s="384" t="s">
        <v>227</v>
      </c>
      <c r="B183" s="384" t="s">
        <v>1478</v>
      </c>
      <c r="C183" s="384" t="s">
        <v>264</v>
      </c>
      <c r="D183" s="384">
        <v>217</v>
      </c>
      <c r="E183" s="406" t="s">
        <v>1448</v>
      </c>
    </row>
    <row r="184" spans="1:5">
      <c r="A184" s="384" t="s">
        <v>227</v>
      </c>
      <c r="B184" s="384" t="s">
        <v>1478</v>
      </c>
      <c r="C184" s="384" t="s">
        <v>265</v>
      </c>
      <c r="D184" s="384">
        <v>7</v>
      </c>
      <c r="E184" s="406" t="s">
        <v>1448</v>
      </c>
    </row>
    <row r="185" spans="1:5">
      <c r="A185" s="384" t="s">
        <v>227</v>
      </c>
      <c r="B185" s="384" t="s">
        <v>1478</v>
      </c>
      <c r="C185" s="384" t="s">
        <v>266</v>
      </c>
      <c r="D185" s="384">
        <v>74</v>
      </c>
      <c r="E185" s="406" t="s">
        <v>1448</v>
      </c>
    </row>
    <row r="186" spans="1:5">
      <c r="A186" s="384" t="s">
        <v>227</v>
      </c>
      <c r="B186" s="384" t="s">
        <v>1478</v>
      </c>
      <c r="C186" s="384" t="s">
        <v>267</v>
      </c>
      <c r="D186" s="384">
        <v>8</v>
      </c>
      <c r="E186" s="406" t="s">
        <v>1448</v>
      </c>
    </row>
    <row r="187" spans="1:5">
      <c r="A187" s="384" t="s">
        <v>227</v>
      </c>
      <c r="B187" s="384" t="s">
        <v>1478</v>
      </c>
      <c r="C187" s="384" t="s">
        <v>268</v>
      </c>
      <c r="D187" s="384">
        <v>0</v>
      </c>
      <c r="E187" s="406" t="s">
        <v>1448</v>
      </c>
    </row>
    <row r="188" spans="1:5">
      <c r="A188" s="384" t="s">
        <v>227</v>
      </c>
      <c r="B188" s="384" t="s">
        <v>1478</v>
      </c>
      <c r="C188" s="384" t="s">
        <v>269</v>
      </c>
      <c r="D188" s="384">
        <v>0</v>
      </c>
      <c r="E188" s="406" t="s">
        <v>1448</v>
      </c>
    </row>
    <row r="189" spans="1:5">
      <c r="A189" s="384" t="s">
        <v>227</v>
      </c>
      <c r="B189" s="384" t="s">
        <v>1479</v>
      </c>
      <c r="C189" s="384" t="s">
        <v>271</v>
      </c>
      <c r="D189" s="384">
        <v>1</v>
      </c>
      <c r="E189" s="406" t="s">
        <v>1448</v>
      </c>
    </row>
    <row r="190" spans="1:5">
      <c r="A190" s="384" t="s">
        <v>227</v>
      </c>
      <c r="B190" s="384" t="s">
        <v>1479</v>
      </c>
      <c r="C190" s="384" t="s">
        <v>272</v>
      </c>
      <c r="D190" s="384">
        <v>567</v>
      </c>
      <c r="E190" s="406" t="s">
        <v>1448</v>
      </c>
    </row>
    <row r="191" spans="1:5">
      <c r="A191" s="384" t="s">
        <v>227</v>
      </c>
      <c r="B191" s="384" t="s">
        <v>1479</v>
      </c>
      <c r="C191" s="384" t="s">
        <v>273</v>
      </c>
      <c r="D191" s="384">
        <v>365</v>
      </c>
      <c r="E191" s="406" t="s">
        <v>1448</v>
      </c>
    </row>
    <row r="192" spans="1:5">
      <c r="A192" s="384" t="s">
        <v>227</v>
      </c>
      <c r="B192" s="384" t="s">
        <v>1479</v>
      </c>
      <c r="C192" s="384" t="s">
        <v>274</v>
      </c>
      <c r="D192" s="384">
        <v>82</v>
      </c>
      <c r="E192" s="406" t="s">
        <v>1448</v>
      </c>
    </row>
    <row r="193" spans="1:5">
      <c r="A193" s="384" t="s">
        <v>227</v>
      </c>
      <c r="B193" s="384" t="s">
        <v>1479</v>
      </c>
      <c r="C193" s="384" t="s">
        <v>275</v>
      </c>
      <c r="D193" s="384">
        <v>23</v>
      </c>
      <c r="E193" s="406" t="s">
        <v>1448</v>
      </c>
    </row>
    <row r="194" spans="1:5">
      <c r="A194" s="384" t="s">
        <v>227</v>
      </c>
      <c r="B194" s="384" t="s">
        <v>1479</v>
      </c>
      <c r="C194" s="384" t="s">
        <v>276</v>
      </c>
      <c r="D194" s="384">
        <v>12</v>
      </c>
      <c r="E194" s="406" t="s">
        <v>1448</v>
      </c>
    </row>
    <row r="195" spans="1:5">
      <c r="A195" s="384" t="s">
        <v>227</v>
      </c>
      <c r="B195" s="384" t="s">
        <v>1479</v>
      </c>
      <c r="C195" s="384" t="s">
        <v>277</v>
      </c>
      <c r="D195" s="384">
        <v>2</v>
      </c>
      <c r="E195" s="406" t="s">
        <v>1448</v>
      </c>
    </row>
    <row r="196" spans="1:5">
      <c r="A196" s="384" t="s">
        <v>227</v>
      </c>
      <c r="B196" s="384" t="s">
        <v>1479</v>
      </c>
      <c r="C196" s="384" t="s">
        <v>278</v>
      </c>
      <c r="D196" s="384">
        <v>0</v>
      </c>
      <c r="E196" s="406" t="s">
        <v>1448</v>
      </c>
    </row>
    <row r="197" spans="1:5">
      <c r="A197" s="384" t="s">
        <v>270</v>
      </c>
      <c r="B197" s="384" t="s">
        <v>1478</v>
      </c>
      <c r="C197" s="384" t="s">
        <v>261</v>
      </c>
      <c r="D197" s="384">
        <v>3697</v>
      </c>
      <c r="E197" s="406" t="s">
        <v>1448</v>
      </c>
    </row>
    <row r="198" spans="1:5">
      <c r="A198" s="384" t="s">
        <v>270</v>
      </c>
      <c r="B198" s="384" t="s">
        <v>1478</v>
      </c>
      <c r="C198" s="384" t="s">
        <v>264</v>
      </c>
      <c r="D198" s="384">
        <v>851</v>
      </c>
      <c r="E198" s="406" t="s">
        <v>1448</v>
      </c>
    </row>
    <row r="199" spans="1:5">
      <c r="A199" s="384" t="s">
        <v>270</v>
      </c>
      <c r="B199" s="384" t="s">
        <v>1478</v>
      </c>
      <c r="C199" s="384" t="s">
        <v>265</v>
      </c>
      <c r="D199" s="384">
        <v>218</v>
      </c>
      <c r="E199" s="406" t="s">
        <v>1448</v>
      </c>
    </row>
    <row r="200" spans="1:5">
      <c r="A200" s="384" t="s">
        <v>270</v>
      </c>
      <c r="B200" s="384" t="s">
        <v>1478</v>
      </c>
      <c r="C200" s="384" t="s">
        <v>266</v>
      </c>
      <c r="D200" s="384">
        <v>150</v>
      </c>
      <c r="E200" s="406" t="s">
        <v>1448</v>
      </c>
    </row>
    <row r="201" spans="1:5">
      <c r="A201" s="384" t="s">
        <v>270</v>
      </c>
      <c r="B201" s="384" t="s">
        <v>1478</v>
      </c>
      <c r="C201" s="384" t="s">
        <v>267</v>
      </c>
      <c r="D201" s="384">
        <v>64</v>
      </c>
      <c r="E201" s="406" t="s">
        <v>1448</v>
      </c>
    </row>
    <row r="202" spans="1:5">
      <c r="A202" s="384" t="s">
        <v>270</v>
      </c>
      <c r="B202" s="384" t="s">
        <v>1478</v>
      </c>
      <c r="C202" s="384" t="s">
        <v>268</v>
      </c>
      <c r="D202" s="384">
        <v>7</v>
      </c>
      <c r="E202" s="406" t="s">
        <v>1448</v>
      </c>
    </row>
    <row r="203" spans="1:5">
      <c r="A203" s="384" t="s">
        <v>270</v>
      </c>
      <c r="B203" s="384" t="s">
        <v>1478</v>
      </c>
      <c r="C203" s="384" t="s">
        <v>269</v>
      </c>
      <c r="D203" s="384">
        <v>0</v>
      </c>
      <c r="E203" s="406" t="s">
        <v>1448</v>
      </c>
    </row>
    <row r="204" spans="1:5">
      <c r="A204" s="384" t="s">
        <v>270</v>
      </c>
      <c r="B204" s="384" t="s">
        <v>1479</v>
      </c>
      <c r="C204" s="384" t="s">
        <v>271</v>
      </c>
      <c r="D204" s="384">
        <v>2</v>
      </c>
      <c r="E204" s="406" t="s">
        <v>1448</v>
      </c>
    </row>
    <row r="205" spans="1:5">
      <c r="A205" s="384" t="s">
        <v>270</v>
      </c>
      <c r="B205" s="384" t="s">
        <v>1479</v>
      </c>
      <c r="C205" s="384" t="s">
        <v>272</v>
      </c>
      <c r="D205" s="384">
        <v>365</v>
      </c>
      <c r="E205" s="406" t="s">
        <v>1448</v>
      </c>
    </row>
    <row r="206" spans="1:5">
      <c r="A206" s="384" t="s">
        <v>270</v>
      </c>
      <c r="B206" s="384" t="s">
        <v>1479</v>
      </c>
      <c r="C206" s="384" t="s">
        <v>273</v>
      </c>
      <c r="D206" s="384">
        <v>88</v>
      </c>
      <c r="E206" s="406" t="s">
        <v>1448</v>
      </c>
    </row>
    <row r="207" spans="1:5">
      <c r="A207" s="384" t="s">
        <v>270</v>
      </c>
      <c r="B207" s="384" t="s">
        <v>1479</v>
      </c>
      <c r="C207" s="384" t="s">
        <v>274</v>
      </c>
      <c r="D207" s="384">
        <v>66</v>
      </c>
      <c r="E207" s="406" t="s">
        <v>1448</v>
      </c>
    </row>
    <row r="208" spans="1:5">
      <c r="A208" s="384" t="s">
        <v>270</v>
      </c>
      <c r="B208" s="384" t="s">
        <v>1479</v>
      </c>
      <c r="C208" s="384" t="s">
        <v>275</v>
      </c>
      <c r="D208" s="384">
        <v>25</v>
      </c>
      <c r="E208" s="406" t="s">
        <v>1448</v>
      </c>
    </row>
    <row r="209" spans="1:5">
      <c r="A209" s="384" t="s">
        <v>270</v>
      </c>
      <c r="B209" s="384" t="s">
        <v>1479</v>
      </c>
      <c r="C209" s="384" t="s">
        <v>276</v>
      </c>
      <c r="D209" s="384">
        <v>4</v>
      </c>
      <c r="E209" s="406" t="s">
        <v>1448</v>
      </c>
    </row>
    <row r="210" spans="1:5">
      <c r="A210" s="384" t="s">
        <v>270</v>
      </c>
      <c r="B210" s="384" t="s">
        <v>1479</v>
      </c>
      <c r="C210" s="384" t="s">
        <v>277</v>
      </c>
      <c r="D210" s="384">
        <v>1</v>
      </c>
      <c r="E210" s="406" t="s">
        <v>1448</v>
      </c>
    </row>
    <row r="211" spans="1:5">
      <c r="A211" s="384" t="s">
        <v>270</v>
      </c>
      <c r="B211" s="384" t="s">
        <v>1479</v>
      </c>
      <c r="C211" s="384" t="s">
        <v>278</v>
      </c>
      <c r="D211" s="384">
        <v>0</v>
      </c>
      <c r="E211" s="406" t="s">
        <v>1448</v>
      </c>
    </row>
    <row r="212" spans="1:5">
      <c r="A212" s="384" t="s">
        <v>227</v>
      </c>
      <c r="B212" s="384" t="s">
        <v>1478</v>
      </c>
      <c r="C212" s="384" t="s">
        <v>261</v>
      </c>
      <c r="D212" s="384">
        <v>1034</v>
      </c>
      <c r="E212" s="406" t="s">
        <v>1464</v>
      </c>
    </row>
    <row r="213" spans="1:5">
      <c r="A213" s="384" t="s">
        <v>227</v>
      </c>
      <c r="B213" s="384" t="s">
        <v>1478</v>
      </c>
      <c r="C213" s="384" t="s">
        <v>264</v>
      </c>
      <c r="D213" s="384">
        <v>217</v>
      </c>
      <c r="E213" s="406" t="s">
        <v>1464</v>
      </c>
    </row>
    <row r="214" spans="1:5">
      <c r="A214" s="384" t="s">
        <v>227</v>
      </c>
      <c r="B214" s="384" t="s">
        <v>1478</v>
      </c>
      <c r="C214" s="384" t="s">
        <v>265</v>
      </c>
      <c r="D214" s="384">
        <v>7</v>
      </c>
      <c r="E214" s="406" t="s">
        <v>1464</v>
      </c>
    </row>
    <row r="215" spans="1:5">
      <c r="A215" s="384" t="s">
        <v>227</v>
      </c>
      <c r="B215" s="384" t="s">
        <v>1478</v>
      </c>
      <c r="C215" s="384" t="s">
        <v>266</v>
      </c>
      <c r="D215" s="384">
        <v>74</v>
      </c>
      <c r="E215" s="406" t="s">
        <v>1464</v>
      </c>
    </row>
    <row r="216" spans="1:5">
      <c r="A216" s="384" t="s">
        <v>227</v>
      </c>
      <c r="B216" s="384" t="s">
        <v>1478</v>
      </c>
      <c r="C216" s="384" t="s">
        <v>267</v>
      </c>
      <c r="D216" s="384">
        <v>8</v>
      </c>
      <c r="E216" s="406" t="s">
        <v>1464</v>
      </c>
    </row>
    <row r="217" spans="1:5">
      <c r="A217" s="384" t="s">
        <v>227</v>
      </c>
      <c r="B217" s="384" t="s">
        <v>1478</v>
      </c>
      <c r="C217" s="384" t="s">
        <v>268</v>
      </c>
      <c r="D217" s="384">
        <v>0</v>
      </c>
      <c r="E217" s="406" t="s">
        <v>1464</v>
      </c>
    </row>
    <row r="218" spans="1:5">
      <c r="A218" s="384" t="s">
        <v>227</v>
      </c>
      <c r="B218" s="384" t="s">
        <v>1478</v>
      </c>
      <c r="C218" s="384" t="s">
        <v>269</v>
      </c>
      <c r="D218" s="384">
        <v>0</v>
      </c>
      <c r="E218" s="406" t="s">
        <v>1464</v>
      </c>
    </row>
    <row r="219" spans="1:5">
      <c r="A219" s="384" t="s">
        <v>227</v>
      </c>
      <c r="B219" s="384" t="s">
        <v>1479</v>
      </c>
      <c r="C219" s="384" t="s">
        <v>271</v>
      </c>
      <c r="D219" s="384">
        <v>1</v>
      </c>
      <c r="E219" s="406" t="s">
        <v>1464</v>
      </c>
    </row>
    <row r="220" spans="1:5">
      <c r="A220" s="384" t="s">
        <v>227</v>
      </c>
      <c r="B220" s="384" t="s">
        <v>1479</v>
      </c>
      <c r="C220" s="384" t="s">
        <v>272</v>
      </c>
      <c r="D220" s="384">
        <v>564</v>
      </c>
      <c r="E220" s="406" t="s">
        <v>1464</v>
      </c>
    </row>
    <row r="221" spans="1:5">
      <c r="A221" s="384" t="s">
        <v>227</v>
      </c>
      <c r="B221" s="384" t="s">
        <v>1479</v>
      </c>
      <c r="C221" s="384" t="s">
        <v>273</v>
      </c>
      <c r="D221" s="384">
        <v>365</v>
      </c>
      <c r="E221" s="406" t="s">
        <v>1464</v>
      </c>
    </row>
    <row r="222" spans="1:5">
      <c r="A222" s="384" t="s">
        <v>227</v>
      </c>
      <c r="B222" s="384" t="s">
        <v>1479</v>
      </c>
      <c r="C222" s="384" t="s">
        <v>274</v>
      </c>
      <c r="D222" s="384">
        <v>82</v>
      </c>
      <c r="E222" s="406" t="s">
        <v>1464</v>
      </c>
    </row>
    <row r="223" spans="1:5">
      <c r="A223" s="384" t="s">
        <v>227</v>
      </c>
      <c r="B223" s="384" t="s">
        <v>1479</v>
      </c>
      <c r="C223" s="384" t="s">
        <v>275</v>
      </c>
      <c r="D223" s="384">
        <v>23</v>
      </c>
      <c r="E223" s="406" t="s">
        <v>1464</v>
      </c>
    </row>
    <row r="224" spans="1:5">
      <c r="A224" s="384" t="s">
        <v>227</v>
      </c>
      <c r="B224" s="384" t="s">
        <v>1479</v>
      </c>
      <c r="C224" s="384" t="s">
        <v>276</v>
      </c>
      <c r="D224" s="384">
        <v>12</v>
      </c>
      <c r="E224" s="406" t="s">
        <v>1464</v>
      </c>
    </row>
    <row r="225" spans="1:5">
      <c r="A225" s="384" t="s">
        <v>227</v>
      </c>
      <c r="B225" s="384" t="s">
        <v>1479</v>
      </c>
      <c r="C225" s="384" t="s">
        <v>277</v>
      </c>
      <c r="D225" s="384">
        <v>2</v>
      </c>
      <c r="E225" s="406" t="s">
        <v>1464</v>
      </c>
    </row>
    <row r="226" spans="1:5">
      <c r="A226" s="384" t="s">
        <v>227</v>
      </c>
      <c r="B226" s="384" t="s">
        <v>1479</v>
      </c>
      <c r="C226" s="384" t="s">
        <v>278</v>
      </c>
      <c r="D226" s="384">
        <v>0</v>
      </c>
      <c r="E226" s="406" t="s">
        <v>1464</v>
      </c>
    </row>
    <row r="227" spans="1:5">
      <c r="A227" s="384" t="s">
        <v>270</v>
      </c>
      <c r="B227" s="384" t="s">
        <v>1478</v>
      </c>
      <c r="C227" s="384" t="s">
        <v>261</v>
      </c>
      <c r="D227" s="384">
        <v>3411</v>
      </c>
      <c r="E227" s="406" t="s">
        <v>1464</v>
      </c>
    </row>
    <row r="228" spans="1:5">
      <c r="A228" s="384" t="s">
        <v>270</v>
      </c>
      <c r="B228" s="384" t="s">
        <v>1478</v>
      </c>
      <c r="C228" s="384" t="s">
        <v>264</v>
      </c>
      <c r="D228" s="384">
        <v>786</v>
      </c>
      <c r="E228" s="406" t="s">
        <v>1464</v>
      </c>
    </row>
    <row r="229" spans="1:5">
      <c r="A229" s="384" t="s">
        <v>270</v>
      </c>
      <c r="B229" s="384" t="s">
        <v>1478</v>
      </c>
      <c r="C229" s="384" t="s">
        <v>265</v>
      </c>
      <c r="D229" s="384">
        <v>202</v>
      </c>
      <c r="E229" s="406" t="s">
        <v>1464</v>
      </c>
    </row>
    <row r="230" spans="1:5">
      <c r="A230" s="384" t="s">
        <v>270</v>
      </c>
      <c r="B230" s="384" t="s">
        <v>1478</v>
      </c>
      <c r="C230" s="384" t="s">
        <v>266</v>
      </c>
      <c r="D230" s="384">
        <v>146</v>
      </c>
      <c r="E230" s="406" t="s">
        <v>1464</v>
      </c>
    </row>
    <row r="231" spans="1:5">
      <c r="A231" s="384" t="s">
        <v>270</v>
      </c>
      <c r="B231" s="384" t="s">
        <v>1478</v>
      </c>
      <c r="C231" s="384" t="s">
        <v>267</v>
      </c>
      <c r="D231" s="384">
        <v>61</v>
      </c>
      <c r="E231" s="406" t="s">
        <v>1464</v>
      </c>
    </row>
    <row r="232" spans="1:5">
      <c r="A232" s="384" t="s">
        <v>270</v>
      </c>
      <c r="B232" s="384" t="s">
        <v>1478</v>
      </c>
      <c r="C232" s="384" t="s">
        <v>268</v>
      </c>
      <c r="D232" s="384">
        <v>6</v>
      </c>
      <c r="E232" s="406" t="s">
        <v>1464</v>
      </c>
    </row>
    <row r="233" spans="1:5">
      <c r="A233" s="384" t="s">
        <v>270</v>
      </c>
      <c r="B233" s="384" t="s">
        <v>1478</v>
      </c>
      <c r="C233" s="384" t="s">
        <v>269</v>
      </c>
      <c r="D233" s="384">
        <v>0</v>
      </c>
      <c r="E233" s="406" t="s">
        <v>1464</v>
      </c>
    </row>
    <row r="234" spans="1:5">
      <c r="A234" s="384" t="s">
        <v>270</v>
      </c>
      <c r="B234" s="384" t="s">
        <v>1479</v>
      </c>
      <c r="C234" s="384" t="s">
        <v>271</v>
      </c>
      <c r="D234" s="384">
        <v>0</v>
      </c>
      <c r="E234" s="406" t="s">
        <v>1464</v>
      </c>
    </row>
    <row r="235" spans="1:5">
      <c r="A235" s="384" t="s">
        <v>270</v>
      </c>
      <c r="B235" s="384" t="s">
        <v>1479</v>
      </c>
      <c r="C235" s="384" t="s">
        <v>272</v>
      </c>
      <c r="D235" s="384">
        <v>365</v>
      </c>
      <c r="E235" s="406" t="s">
        <v>1464</v>
      </c>
    </row>
    <row r="236" spans="1:5">
      <c r="A236" s="384" t="s">
        <v>270</v>
      </c>
      <c r="B236" s="384" t="s">
        <v>1479</v>
      </c>
      <c r="C236" s="384" t="s">
        <v>273</v>
      </c>
      <c r="D236" s="384">
        <v>88</v>
      </c>
      <c r="E236" s="406" t="s">
        <v>1464</v>
      </c>
    </row>
    <row r="237" spans="1:5">
      <c r="A237" s="384" t="s">
        <v>270</v>
      </c>
      <c r="B237" s="384" t="s">
        <v>1479</v>
      </c>
      <c r="C237" s="384" t="s">
        <v>274</v>
      </c>
      <c r="D237" s="384">
        <v>66</v>
      </c>
      <c r="E237" s="406" t="s">
        <v>1464</v>
      </c>
    </row>
    <row r="238" spans="1:5">
      <c r="A238" s="384" t="s">
        <v>270</v>
      </c>
      <c r="B238" s="384" t="s">
        <v>1479</v>
      </c>
      <c r="C238" s="384" t="s">
        <v>275</v>
      </c>
      <c r="D238" s="384">
        <v>25</v>
      </c>
      <c r="E238" s="406" t="s">
        <v>1464</v>
      </c>
    </row>
    <row r="239" spans="1:5">
      <c r="A239" s="384" t="s">
        <v>270</v>
      </c>
      <c r="B239" s="384" t="s">
        <v>1479</v>
      </c>
      <c r="C239" s="384" t="s">
        <v>276</v>
      </c>
      <c r="D239" s="384">
        <v>4</v>
      </c>
      <c r="E239" s="406" t="s">
        <v>1464</v>
      </c>
    </row>
    <row r="240" spans="1:5">
      <c r="A240" s="384" t="s">
        <v>270</v>
      </c>
      <c r="B240" s="384" t="s">
        <v>1479</v>
      </c>
      <c r="C240" s="384" t="s">
        <v>277</v>
      </c>
      <c r="D240" s="384">
        <v>0</v>
      </c>
      <c r="E240" s="406" t="s">
        <v>1464</v>
      </c>
    </row>
    <row r="241" spans="1:5">
      <c r="A241" s="384" t="s">
        <v>270</v>
      </c>
      <c r="B241" s="384" t="s">
        <v>1479</v>
      </c>
      <c r="C241" s="384" t="s">
        <v>278</v>
      </c>
      <c r="D241" s="384">
        <v>0</v>
      </c>
      <c r="E241" s="406" t="s">
        <v>1464</v>
      </c>
    </row>
    <row r="242" spans="1:5">
      <c r="A242" s="384" t="s">
        <v>227</v>
      </c>
      <c r="B242" s="384" t="s">
        <v>1478</v>
      </c>
      <c r="C242" s="384" t="s">
        <v>261</v>
      </c>
      <c r="D242" s="384">
        <v>584</v>
      </c>
      <c r="E242" s="406" t="s">
        <v>1537</v>
      </c>
    </row>
    <row r="243" spans="1:5">
      <c r="A243" s="384" t="s">
        <v>227</v>
      </c>
      <c r="B243" s="384" t="s">
        <v>1478</v>
      </c>
      <c r="C243" s="384" t="s">
        <v>264</v>
      </c>
      <c r="D243" s="384">
        <v>93</v>
      </c>
      <c r="E243" s="406" t="s">
        <v>1537</v>
      </c>
    </row>
    <row r="244" spans="1:5">
      <c r="A244" s="384" t="s">
        <v>227</v>
      </c>
      <c r="B244" s="384" t="s">
        <v>1478</v>
      </c>
      <c r="C244" s="384" t="s">
        <v>265</v>
      </c>
      <c r="D244" s="384">
        <v>0</v>
      </c>
      <c r="E244" s="406" t="s">
        <v>1537</v>
      </c>
    </row>
    <row r="245" spans="1:5">
      <c r="A245" s="384" t="s">
        <v>227</v>
      </c>
      <c r="B245" s="384" t="s">
        <v>1478</v>
      </c>
      <c r="C245" s="384" t="s">
        <v>266</v>
      </c>
      <c r="D245" s="384">
        <v>70</v>
      </c>
      <c r="E245" s="406" t="s">
        <v>1537</v>
      </c>
    </row>
    <row r="246" spans="1:5">
      <c r="A246" s="384" t="s">
        <v>227</v>
      </c>
      <c r="B246" s="384" t="s">
        <v>1478</v>
      </c>
      <c r="C246" s="384" t="s">
        <v>267</v>
      </c>
      <c r="D246" s="384">
        <v>7</v>
      </c>
      <c r="E246" s="406" t="s">
        <v>1537</v>
      </c>
    </row>
    <row r="247" spans="1:5">
      <c r="A247" s="384" t="s">
        <v>227</v>
      </c>
      <c r="B247" s="384" t="s">
        <v>1478</v>
      </c>
      <c r="C247" s="384" t="s">
        <v>268</v>
      </c>
      <c r="D247" s="384">
        <v>0</v>
      </c>
      <c r="E247" s="406" t="s">
        <v>1537</v>
      </c>
    </row>
    <row r="248" spans="1:5">
      <c r="A248" s="384" t="s">
        <v>227</v>
      </c>
      <c r="B248" s="384" t="s">
        <v>1478</v>
      </c>
      <c r="C248" s="384" t="s">
        <v>269</v>
      </c>
      <c r="D248" s="384">
        <v>0</v>
      </c>
      <c r="E248" s="406" t="s">
        <v>1537</v>
      </c>
    </row>
    <row r="249" spans="1:5">
      <c r="A249" s="384" t="s">
        <v>227</v>
      </c>
      <c r="B249" s="384" t="s">
        <v>1479</v>
      </c>
      <c r="C249" s="384" t="s">
        <v>271</v>
      </c>
      <c r="D249" s="384">
        <v>1</v>
      </c>
      <c r="E249" s="406" t="s">
        <v>1537</v>
      </c>
    </row>
    <row r="250" spans="1:5">
      <c r="A250" s="384" t="s">
        <v>227</v>
      </c>
      <c r="B250" s="384" t="s">
        <v>1479</v>
      </c>
      <c r="C250" s="384" t="s">
        <v>272</v>
      </c>
      <c r="D250" s="384">
        <v>554</v>
      </c>
      <c r="E250" s="406" t="s">
        <v>1537</v>
      </c>
    </row>
    <row r="251" spans="1:5">
      <c r="A251" s="384" t="s">
        <v>227</v>
      </c>
      <c r="B251" s="384" t="s">
        <v>1479</v>
      </c>
      <c r="C251" s="384" t="s">
        <v>273</v>
      </c>
      <c r="D251" s="384">
        <v>364</v>
      </c>
      <c r="E251" s="406" t="s">
        <v>1537</v>
      </c>
    </row>
    <row r="252" spans="1:5">
      <c r="A252" s="384" t="s">
        <v>227</v>
      </c>
      <c r="B252" s="384" t="s">
        <v>1479</v>
      </c>
      <c r="C252" s="384" t="s">
        <v>274</v>
      </c>
      <c r="D252" s="384">
        <v>82</v>
      </c>
      <c r="E252" s="406" t="s">
        <v>1537</v>
      </c>
    </row>
    <row r="253" spans="1:5">
      <c r="A253" s="384" t="s">
        <v>227</v>
      </c>
      <c r="B253" s="384" t="s">
        <v>1479</v>
      </c>
      <c r="C253" s="384" t="s">
        <v>275</v>
      </c>
      <c r="D253" s="384">
        <v>23</v>
      </c>
      <c r="E253" s="406" t="s">
        <v>1537</v>
      </c>
    </row>
    <row r="254" spans="1:5">
      <c r="A254" s="384" t="s">
        <v>227</v>
      </c>
      <c r="B254" s="384" t="s">
        <v>1479</v>
      </c>
      <c r="C254" s="384" t="s">
        <v>276</v>
      </c>
      <c r="D254" s="384">
        <v>12</v>
      </c>
      <c r="E254" s="406" t="s">
        <v>1537</v>
      </c>
    </row>
    <row r="255" spans="1:5">
      <c r="A255" s="384" t="s">
        <v>227</v>
      </c>
      <c r="B255" s="384" t="s">
        <v>1479</v>
      </c>
      <c r="C255" s="384" t="s">
        <v>277</v>
      </c>
      <c r="D255" s="384">
        <v>1</v>
      </c>
      <c r="E255" s="406" t="s">
        <v>1537</v>
      </c>
    </row>
    <row r="256" spans="1:5">
      <c r="A256" s="384" t="s">
        <v>227</v>
      </c>
      <c r="B256" s="384" t="s">
        <v>1479</v>
      </c>
      <c r="C256" s="384" t="s">
        <v>278</v>
      </c>
      <c r="D256" s="384">
        <v>0</v>
      </c>
      <c r="E256" s="406" t="s">
        <v>1537</v>
      </c>
    </row>
    <row r="257" spans="1:5">
      <c r="A257" s="384" t="s">
        <v>270</v>
      </c>
      <c r="B257" s="384" t="s">
        <v>1478</v>
      </c>
      <c r="C257" s="384" t="s">
        <v>261</v>
      </c>
      <c r="D257" s="384">
        <v>3081</v>
      </c>
      <c r="E257" s="406" t="s">
        <v>1537</v>
      </c>
    </row>
    <row r="258" spans="1:5">
      <c r="A258" s="384" t="s">
        <v>270</v>
      </c>
      <c r="B258" s="384" t="s">
        <v>1478</v>
      </c>
      <c r="C258" s="384" t="s">
        <v>264</v>
      </c>
      <c r="D258" s="384">
        <v>748</v>
      </c>
      <c r="E258" s="406" t="s">
        <v>1537</v>
      </c>
    </row>
    <row r="259" spans="1:5">
      <c r="A259" s="384" t="s">
        <v>270</v>
      </c>
      <c r="B259" s="384" t="s">
        <v>1478</v>
      </c>
      <c r="C259" s="384" t="s">
        <v>265</v>
      </c>
      <c r="D259" s="384">
        <v>187</v>
      </c>
      <c r="E259" s="406" t="s">
        <v>1537</v>
      </c>
    </row>
    <row r="260" spans="1:5">
      <c r="A260" s="384" t="s">
        <v>270</v>
      </c>
      <c r="B260" s="384" t="s">
        <v>1478</v>
      </c>
      <c r="C260" s="384" t="s">
        <v>266</v>
      </c>
      <c r="D260" s="384">
        <v>144</v>
      </c>
      <c r="E260" s="406" t="s">
        <v>1537</v>
      </c>
    </row>
    <row r="261" spans="1:5">
      <c r="A261" s="384" t="s">
        <v>270</v>
      </c>
      <c r="B261" s="384" t="s">
        <v>1478</v>
      </c>
      <c r="C261" s="384" t="s">
        <v>267</v>
      </c>
      <c r="D261" s="384">
        <v>61</v>
      </c>
      <c r="E261" s="406" t="s">
        <v>1537</v>
      </c>
    </row>
    <row r="262" spans="1:5">
      <c r="A262" s="384" t="s">
        <v>270</v>
      </c>
      <c r="B262" s="384" t="s">
        <v>1478</v>
      </c>
      <c r="C262" s="384" t="s">
        <v>268</v>
      </c>
      <c r="D262" s="384">
        <v>6</v>
      </c>
      <c r="E262" s="406" t="s">
        <v>1537</v>
      </c>
    </row>
    <row r="263" spans="1:5">
      <c r="A263" s="384" t="s">
        <v>270</v>
      </c>
      <c r="B263" s="384" t="s">
        <v>1478</v>
      </c>
      <c r="C263" s="384" t="s">
        <v>269</v>
      </c>
      <c r="D263" s="384">
        <v>0</v>
      </c>
      <c r="E263" s="406" t="s">
        <v>1537</v>
      </c>
    </row>
    <row r="264" spans="1:5">
      <c r="A264" s="384" t="s">
        <v>270</v>
      </c>
      <c r="B264" s="384" t="s">
        <v>1479</v>
      </c>
      <c r="C264" s="384" t="s">
        <v>271</v>
      </c>
      <c r="D264" s="384">
        <v>0</v>
      </c>
      <c r="E264" s="406" t="s">
        <v>1537</v>
      </c>
    </row>
    <row r="265" spans="1:5">
      <c r="A265" s="384" t="s">
        <v>270</v>
      </c>
      <c r="B265" s="384" t="s">
        <v>1479</v>
      </c>
      <c r="C265" s="384" t="s">
        <v>272</v>
      </c>
      <c r="D265" s="384">
        <v>325</v>
      </c>
      <c r="E265" s="406" t="s">
        <v>1537</v>
      </c>
    </row>
    <row r="266" spans="1:5">
      <c r="A266" s="384" t="s">
        <v>270</v>
      </c>
      <c r="B266" s="384" t="s">
        <v>1479</v>
      </c>
      <c r="C266" s="384" t="s">
        <v>273</v>
      </c>
      <c r="D266" s="384">
        <v>88</v>
      </c>
      <c r="E266" s="406" t="s">
        <v>1537</v>
      </c>
    </row>
    <row r="267" spans="1:5">
      <c r="A267" s="384" t="s">
        <v>270</v>
      </c>
      <c r="B267" s="384" t="s">
        <v>1479</v>
      </c>
      <c r="C267" s="384" t="s">
        <v>274</v>
      </c>
      <c r="D267" s="384">
        <v>66</v>
      </c>
      <c r="E267" s="406" t="s">
        <v>1537</v>
      </c>
    </row>
    <row r="268" spans="1:5">
      <c r="A268" s="384" t="s">
        <v>270</v>
      </c>
      <c r="B268" s="384" t="s">
        <v>1479</v>
      </c>
      <c r="C268" s="384" t="s">
        <v>275</v>
      </c>
      <c r="D268" s="384">
        <v>25</v>
      </c>
      <c r="E268" s="406" t="s">
        <v>1537</v>
      </c>
    </row>
    <row r="269" spans="1:5">
      <c r="A269" s="384" t="s">
        <v>270</v>
      </c>
      <c r="B269" s="384" t="s">
        <v>1479</v>
      </c>
      <c r="C269" s="384" t="s">
        <v>276</v>
      </c>
      <c r="D269" s="384">
        <v>4</v>
      </c>
      <c r="E269" s="406" t="s">
        <v>1537</v>
      </c>
    </row>
    <row r="270" spans="1:5">
      <c r="A270" s="384" t="s">
        <v>270</v>
      </c>
      <c r="B270" s="384" t="s">
        <v>1479</v>
      </c>
      <c r="C270" s="384" t="s">
        <v>277</v>
      </c>
      <c r="D270" s="384">
        <v>0</v>
      </c>
      <c r="E270" s="406" t="s">
        <v>1537</v>
      </c>
    </row>
    <row r="271" spans="1:5">
      <c r="A271" s="384" t="s">
        <v>270</v>
      </c>
      <c r="B271" s="384" t="s">
        <v>1479</v>
      </c>
      <c r="C271" s="384" t="s">
        <v>278</v>
      </c>
      <c r="D271" s="384">
        <v>0</v>
      </c>
      <c r="E271" s="406" t="s">
        <v>1537</v>
      </c>
    </row>
    <row r="272" spans="1:5">
      <c r="A272" s="384" t="s">
        <v>227</v>
      </c>
      <c r="B272" s="384" t="s">
        <v>1478</v>
      </c>
      <c r="C272" s="384" t="s">
        <v>261</v>
      </c>
      <c r="D272" s="384">
        <v>508</v>
      </c>
      <c r="E272" s="406" t="s">
        <v>1550</v>
      </c>
    </row>
    <row r="273" spans="1:5">
      <c r="A273" s="384" t="s">
        <v>227</v>
      </c>
      <c r="B273" s="384" t="s">
        <v>1478</v>
      </c>
      <c r="C273" s="384" t="s">
        <v>264</v>
      </c>
      <c r="D273" s="384">
        <v>83</v>
      </c>
      <c r="E273" s="406" t="s">
        <v>1550</v>
      </c>
    </row>
    <row r="274" spans="1:5">
      <c r="A274" s="384" t="s">
        <v>227</v>
      </c>
      <c r="B274" s="384" t="s">
        <v>1478</v>
      </c>
      <c r="C274" s="384" t="s">
        <v>265</v>
      </c>
      <c r="D274" s="384">
        <v>0</v>
      </c>
      <c r="E274" s="406" t="s">
        <v>1550</v>
      </c>
    </row>
    <row r="275" spans="1:5">
      <c r="A275" s="384" t="s">
        <v>227</v>
      </c>
      <c r="B275" s="384" t="s">
        <v>1478</v>
      </c>
      <c r="C275" s="384" t="s">
        <v>266</v>
      </c>
      <c r="D275" s="384">
        <v>67</v>
      </c>
      <c r="E275" s="406" t="s">
        <v>1550</v>
      </c>
    </row>
    <row r="276" spans="1:5">
      <c r="A276" s="384" t="s">
        <v>227</v>
      </c>
      <c r="B276" s="384" t="s">
        <v>1478</v>
      </c>
      <c r="C276" s="384" t="s">
        <v>267</v>
      </c>
      <c r="D276" s="384">
        <v>6</v>
      </c>
      <c r="E276" s="406" t="s">
        <v>1550</v>
      </c>
    </row>
    <row r="277" spans="1:5">
      <c r="A277" s="384" t="s">
        <v>227</v>
      </c>
      <c r="B277" s="384" t="s">
        <v>1478</v>
      </c>
      <c r="C277" s="384" t="s">
        <v>268</v>
      </c>
      <c r="D277" s="384">
        <v>0</v>
      </c>
      <c r="E277" s="406" t="s">
        <v>1550</v>
      </c>
    </row>
    <row r="278" spans="1:5">
      <c r="A278" s="384" t="s">
        <v>227</v>
      </c>
      <c r="B278" s="384" t="s">
        <v>1478</v>
      </c>
      <c r="C278" s="384" t="s">
        <v>269</v>
      </c>
      <c r="D278" s="384">
        <v>0</v>
      </c>
      <c r="E278" s="406" t="s">
        <v>1550</v>
      </c>
    </row>
    <row r="279" spans="1:5">
      <c r="A279" s="384" t="s">
        <v>227</v>
      </c>
      <c r="B279" s="384" t="s">
        <v>1479</v>
      </c>
      <c r="C279" s="384" t="s">
        <v>271</v>
      </c>
      <c r="D279" s="384">
        <v>2</v>
      </c>
      <c r="E279" s="406" t="s">
        <v>1550</v>
      </c>
    </row>
    <row r="280" spans="1:5">
      <c r="A280" s="384" t="s">
        <v>227</v>
      </c>
      <c r="B280" s="384" t="s">
        <v>1479</v>
      </c>
      <c r="C280" s="384" t="s">
        <v>272</v>
      </c>
      <c r="D280" s="384">
        <v>545</v>
      </c>
      <c r="E280" s="406" t="s">
        <v>1550</v>
      </c>
    </row>
    <row r="281" spans="1:5">
      <c r="A281" s="384" t="s">
        <v>227</v>
      </c>
      <c r="B281" s="384" t="s">
        <v>1479</v>
      </c>
      <c r="C281" s="384" t="s">
        <v>273</v>
      </c>
      <c r="D281" s="384">
        <v>359</v>
      </c>
      <c r="E281" s="406" t="s">
        <v>1550</v>
      </c>
    </row>
    <row r="282" spans="1:5">
      <c r="A282" s="384" t="s">
        <v>227</v>
      </c>
      <c r="B282" s="384" t="s">
        <v>1479</v>
      </c>
      <c r="C282" s="384" t="s">
        <v>274</v>
      </c>
      <c r="D282" s="384">
        <v>77</v>
      </c>
      <c r="E282" s="406" t="s">
        <v>1550</v>
      </c>
    </row>
    <row r="283" spans="1:5">
      <c r="A283" s="384" t="s">
        <v>227</v>
      </c>
      <c r="B283" s="384" t="s">
        <v>1479</v>
      </c>
      <c r="C283" s="384" t="s">
        <v>275</v>
      </c>
      <c r="D283" s="384">
        <v>23</v>
      </c>
      <c r="E283" s="406" t="s">
        <v>1550</v>
      </c>
    </row>
    <row r="284" spans="1:5">
      <c r="A284" s="384" t="s">
        <v>227</v>
      </c>
      <c r="B284" s="384" t="s">
        <v>1479</v>
      </c>
      <c r="C284" s="384" t="s">
        <v>276</v>
      </c>
      <c r="D284" s="384">
        <v>12</v>
      </c>
      <c r="E284" s="406" t="s">
        <v>1550</v>
      </c>
    </row>
    <row r="285" spans="1:5">
      <c r="A285" s="384" t="s">
        <v>227</v>
      </c>
      <c r="B285" s="384" t="s">
        <v>1479</v>
      </c>
      <c r="C285" s="384" t="s">
        <v>277</v>
      </c>
      <c r="D285" s="384">
        <v>1</v>
      </c>
      <c r="E285" s="406" t="s">
        <v>1550</v>
      </c>
    </row>
    <row r="286" spans="1:5">
      <c r="A286" s="384" t="s">
        <v>227</v>
      </c>
      <c r="B286" s="384" t="s">
        <v>1479</v>
      </c>
      <c r="C286" s="384" t="s">
        <v>278</v>
      </c>
      <c r="D286" s="384">
        <v>0</v>
      </c>
      <c r="E286" s="406" t="s">
        <v>1550</v>
      </c>
    </row>
    <row r="287" spans="1:5">
      <c r="A287" s="384" t="s">
        <v>270</v>
      </c>
      <c r="B287" s="384" t="s">
        <v>1478</v>
      </c>
      <c r="C287" s="384" t="s">
        <v>261</v>
      </c>
      <c r="D287" s="384">
        <v>3050</v>
      </c>
      <c r="E287" s="406" t="s">
        <v>1550</v>
      </c>
    </row>
    <row r="288" spans="1:5">
      <c r="A288" s="384" t="s">
        <v>270</v>
      </c>
      <c r="B288" s="384" t="s">
        <v>1478</v>
      </c>
      <c r="C288" s="384" t="s">
        <v>264</v>
      </c>
      <c r="D288" s="384">
        <v>748</v>
      </c>
      <c r="E288" s="406" t="s">
        <v>1550</v>
      </c>
    </row>
    <row r="289" spans="1:5">
      <c r="A289" s="384" t="s">
        <v>270</v>
      </c>
      <c r="B289" s="384" t="s">
        <v>1478</v>
      </c>
      <c r="C289" s="384" t="s">
        <v>265</v>
      </c>
      <c r="D289" s="384">
        <v>187</v>
      </c>
      <c r="E289" s="406" t="s">
        <v>1550</v>
      </c>
    </row>
    <row r="290" spans="1:5">
      <c r="A290" s="384" t="s">
        <v>270</v>
      </c>
      <c r="B290" s="384" t="s">
        <v>1478</v>
      </c>
      <c r="C290" s="384" t="s">
        <v>266</v>
      </c>
      <c r="D290" s="384">
        <v>144</v>
      </c>
      <c r="E290" s="406" t="s">
        <v>1550</v>
      </c>
    </row>
    <row r="291" spans="1:5">
      <c r="A291" s="384" t="s">
        <v>270</v>
      </c>
      <c r="B291" s="384" t="s">
        <v>1478</v>
      </c>
      <c r="C291" s="384" t="s">
        <v>267</v>
      </c>
      <c r="D291" s="384">
        <v>61</v>
      </c>
      <c r="E291" s="406" t="s">
        <v>1550</v>
      </c>
    </row>
    <row r="292" spans="1:5">
      <c r="A292" s="384" t="s">
        <v>270</v>
      </c>
      <c r="B292" s="384" t="s">
        <v>1478</v>
      </c>
      <c r="C292" s="384" t="s">
        <v>268</v>
      </c>
      <c r="D292" s="384">
        <v>6</v>
      </c>
      <c r="E292" s="406" t="s">
        <v>1550</v>
      </c>
    </row>
    <row r="293" spans="1:5">
      <c r="A293" s="384" t="s">
        <v>270</v>
      </c>
      <c r="B293" s="384" t="s">
        <v>1478</v>
      </c>
      <c r="C293" s="384" t="s">
        <v>269</v>
      </c>
      <c r="D293" s="384">
        <v>0</v>
      </c>
      <c r="E293" s="406" t="s">
        <v>1550</v>
      </c>
    </row>
    <row r="294" spans="1:5">
      <c r="A294" s="384" t="s">
        <v>270</v>
      </c>
      <c r="B294" s="384" t="s">
        <v>1479</v>
      </c>
      <c r="C294" s="384" t="s">
        <v>271</v>
      </c>
      <c r="D294" s="384">
        <v>0</v>
      </c>
      <c r="E294" s="406" t="s">
        <v>1550</v>
      </c>
    </row>
    <row r="295" spans="1:5">
      <c r="A295" s="384" t="s">
        <v>270</v>
      </c>
      <c r="B295" s="384" t="s">
        <v>1479</v>
      </c>
      <c r="C295" s="384" t="s">
        <v>272</v>
      </c>
      <c r="D295" s="384">
        <v>275</v>
      </c>
      <c r="E295" s="406" t="s">
        <v>1550</v>
      </c>
    </row>
    <row r="296" spans="1:5">
      <c r="A296" s="384" t="s">
        <v>270</v>
      </c>
      <c r="B296" s="384" t="s">
        <v>1479</v>
      </c>
      <c r="C296" s="384" t="s">
        <v>273</v>
      </c>
      <c r="D296" s="384">
        <v>77</v>
      </c>
      <c r="E296" s="406" t="s">
        <v>1550</v>
      </c>
    </row>
    <row r="297" spans="1:5">
      <c r="A297" s="384" t="s">
        <v>270</v>
      </c>
      <c r="B297" s="384" t="s">
        <v>1479</v>
      </c>
      <c r="C297" s="384" t="s">
        <v>274</v>
      </c>
      <c r="D297" s="384">
        <v>58</v>
      </c>
      <c r="E297" s="406" t="s">
        <v>1550</v>
      </c>
    </row>
    <row r="298" spans="1:5">
      <c r="A298" s="384" t="s">
        <v>270</v>
      </c>
      <c r="B298" s="384" t="s">
        <v>1479</v>
      </c>
      <c r="C298" s="384" t="s">
        <v>275</v>
      </c>
      <c r="D298" s="384">
        <v>25</v>
      </c>
      <c r="E298" s="406" t="s">
        <v>1550</v>
      </c>
    </row>
    <row r="299" spans="1:5">
      <c r="A299" s="384" t="s">
        <v>270</v>
      </c>
      <c r="B299" s="384" t="s">
        <v>1479</v>
      </c>
      <c r="C299" s="384" t="s">
        <v>276</v>
      </c>
      <c r="D299" s="384">
        <v>4</v>
      </c>
      <c r="E299" s="406" t="s">
        <v>1550</v>
      </c>
    </row>
    <row r="300" spans="1:5">
      <c r="A300" s="384" t="s">
        <v>270</v>
      </c>
      <c r="B300" s="384" t="s">
        <v>1479</v>
      </c>
      <c r="C300" s="384" t="s">
        <v>277</v>
      </c>
      <c r="D300" s="384">
        <v>0</v>
      </c>
      <c r="E300" s="406" t="s">
        <v>1550</v>
      </c>
    </row>
    <row r="301" spans="1:5">
      <c r="A301" s="384" t="s">
        <v>270</v>
      </c>
      <c r="B301" s="384" t="s">
        <v>1479</v>
      </c>
      <c r="C301" s="384" t="s">
        <v>278</v>
      </c>
      <c r="D301" s="384">
        <v>0</v>
      </c>
      <c r="E301" s="406" t="s">
        <v>1550</v>
      </c>
    </row>
    <row r="302" spans="1:5">
      <c r="A302" s="384" t="s">
        <v>227</v>
      </c>
      <c r="B302" s="384" t="s">
        <v>1478</v>
      </c>
      <c r="C302" s="384" t="s">
        <v>261</v>
      </c>
      <c r="D302" s="384">
        <v>379</v>
      </c>
      <c r="E302" s="406" t="s">
        <v>1698</v>
      </c>
    </row>
    <row r="303" spans="1:5">
      <c r="A303" s="384" t="s">
        <v>227</v>
      </c>
      <c r="B303" s="384" t="s">
        <v>1478</v>
      </c>
      <c r="C303" s="384" t="s">
        <v>264</v>
      </c>
      <c r="D303" s="384">
        <v>53</v>
      </c>
      <c r="E303" s="406" t="s">
        <v>1698</v>
      </c>
    </row>
    <row r="304" spans="1:5">
      <c r="A304" s="384" t="s">
        <v>227</v>
      </c>
      <c r="B304" s="384" t="s">
        <v>1478</v>
      </c>
      <c r="C304" s="384" t="s">
        <v>265</v>
      </c>
      <c r="D304" s="384">
        <v>0</v>
      </c>
      <c r="E304" s="406" t="s">
        <v>1698</v>
      </c>
    </row>
    <row r="305" spans="1:5">
      <c r="A305" s="384" t="s">
        <v>227</v>
      </c>
      <c r="B305" s="384" t="s">
        <v>1478</v>
      </c>
      <c r="C305" s="384" t="s">
        <v>266</v>
      </c>
      <c r="D305" s="384">
        <v>61</v>
      </c>
      <c r="E305" s="406" t="s">
        <v>1698</v>
      </c>
    </row>
    <row r="306" spans="1:5">
      <c r="A306" s="384" t="s">
        <v>227</v>
      </c>
      <c r="B306" s="384" t="s">
        <v>1478</v>
      </c>
      <c r="C306" s="384" t="s">
        <v>267</v>
      </c>
      <c r="D306" s="384">
        <v>6</v>
      </c>
      <c r="E306" s="406" t="s">
        <v>1698</v>
      </c>
    </row>
    <row r="307" spans="1:5">
      <c r="A307" s="384" t="s">
        <v>227</v>
      </c>
      <c r="B307" s="384" t="s">
        <v>1478</v>
      </c>
      <c r="C307" s="384" t="s">
        <v>268</v>
      </c>
      <c r="D307" s="384">
        <v>0</v>
      </c>
      <c r="E307" s="406" t="s">
        <v>1698</v>
      </c>
    </row>
    <row r="308" spans="1:5">
      <c r="A308" s="384" t="s">
        <v>227</v>
      </c>
      <c r="B308" s="384" t="s">
        <v>1478</v>
      </c>
      <c r="C308" s="384" t="s">
        <v>269</v>
      </c>
      <c r="D308" s="384">
        <v>0</v>
      </c>
      <c r="E308" s="406" t="s">
        <v>1698</v>
      </c>
    </row>
    <row r="309" spans="1:5">
      <c r="A309" s="384" t="s">
        <v>227</v>
      </c>
      <c r="B309" s="384" t="s">
        <v>1479</v>
      </c>
      <c r="C309" s="384" t="s">
        <v>271</v>
      </c>
      <c r="D309" s="384">
        <v>2</v>
      </c>
      <c r="E309" s="406" t="s">
        <v>1698</v>
      </c>
    </row>
    <row r="310" spans="1:5">
      <c r="A310" s="384" t="s">
        <v>227</v>
      </c>
      <c r="B310" s="384" t="s">
        <v>1479</v>
      </c>
      <c r="C310" s="384" t="s">
        <v>272</v>
      </c>
      <c r="D310" s="384">
        <v>490</v>
      </c>
      <c r="E310" s="406" t="s">
        <v>1698</v>
      </c>
    </row>
    <row r="311" spans="1:5">
      <c r="A311" s="384" t="s">
        <v>227</v>
      </c>
      <c r="B311" s="384" t="s">
        <v>1479</v>
      </c>
      <c r="C311" s="384" t="s">
        <v>273</v>
      </c>
      <c r="D311" s="384">
        <v>359</v>
      </c>
      <c r="E311" s="406" t="s">
        <v>1698</v>
      </c>
    </row>
    <row r="312" spans="1:5">
      <c r="A312" s="384" t="s">
        <v>227</v>
      </c>
      <c r="B312" s="384" t="s">
        <v>1479</v>
      </c>
      <c r="C312" s="384" t="s">
        <v>274</v>
      </c>
      <c r="D312" s="384">
        <v>71</v>
      </c>
      <c r="E312" s="406" t="s">
        <v>1698</v>
      </c>
    </row>
    <row r="313" spans="1:5">
      <c r="A313" s="384" t="s">
        <v>227</v>
      </c>
      <c r="B313" s="384" t="s">
        <v>1479</v>
      </c>
      <c r="C313" s="384" t="s">
        <v>275</v>
      </c>
      <c r="D313" s="384">
        <v>23</v>
      </c>
      <c r="E313" s="406" t="s">
        <v>1698</v>
      </c>
    </row>
    <row r="314" spans="1:5">
      <c r="A314" s="384" t="s">
        <v>227</v>
      </c>
      <c r="B314" s="384" t="s">
        <v>1479</v>
      </c>
      <c r="C314" s="384" t="s">
        <v>276</v>
      </c>
      <c r="D314" s="384">
        <v>11</v>
      </c>
      <c r="E314" s="406" t="s">
        <v>1698</v>
      </c>
    </row>
    <row r="315" spans="1:5">
      <c r="A315" s="384" t="s">
        <v>227</v>
      </c>
      <c r="B315" s="384" t="s">
        <v>1479</v>
      </c>
      <c r="C315" s="384" t="s">
        <v>277</v>
      </c>
      <c r="D315" s="384">
        <v>1</v>
      </c>
      <c r="E315" s="406" t="s">
        <v>1698</v>
      </c>
    </row>
    <row r="316" spans="1:5">
      <c r="A316" s="384" t="s">
        <v>227</v>
      </c>
      <c r="B316" s="384" t="s">
        <v>1479</v>
      </c>
      <c r="C316" s="384" t="s">
        <v>278</v>
      </c>
      <c r="D316" s="384">
        <v>0</v>
      </c>
      <c r="E316" s="406" t="s">
        <v>1698</v>
      </c>
    </row>
    <row r="317" spans="1:5">
      <c r="A317" s="384" t="s">
        <v>270</v>
      </c>
      <c r="B317" s="384" t="s">
        <v>1478</v>
      </c>
      <c r="C317" s="384" t="s">
        <v>261</v>
      </c>
      <c r="D317" s="384">
        <v>2977</v>
      </c>
      <c r="E317" s="406" t="s">
        <v>1698</v>
      </c>
    </row>
    <row r="318" spans="1:5">
      <c r="A318" s="384" t="s">
        <v>270</v>
      </c>
      <c r="B318" s="384" t="s">
        <v>1478</v>
      </c>
      <c r="C318" s="384" t="s">
        <v>264</v>
      </c>
      <c r="D318" s="384">
        <v>733</v>
      </c>
      <c r="E318" s="406" t="s">
        <v>1698</v>
      </c>
    </row>
    <row r="319" spans="1:5">
      <c r="A319" s="384" t="s">
        <v>270</v>
      </c>
      <c r="B319" s="384" t="s">
        <v>1478</v>
      </c>
      <c r="C319" s="384" t="s">
        <v>265</v>
      </c>
      <c r="D319" s="384">
        <v>171</v>
      </c>
      <c r="E319" s="406" t="s">
        <v>1698</v>
      </c>
    </row>
    <row r="320" spans="1:5">
      <c r="A320" s="384" t="s">
        <v>270</v>
      </c>
      <c r="B320" s="384" t="s">
        <v>1478</v>
      </c>
      <c r="C320" s="384" t="s">
        <v>266</v>
      </c>
      <c r="D320" s="384">
        <v>144</v>
      </c>
      <c r="E320" s="406" t="s">
        <v>1698</v>
      </c>
    </row>
    <row r="321" spans="1:5">
      <c r="A321" s="384" t="s">
        <v>270</v>
      </c>
      <c r="B321" s="384" t="s">
        <v>1478</v>
      </c>
      <c r="C321" s="384" t="s">
        <v>267</v>
      </c>
      <c r="D321" s="384">
        <v>60</v>
      </c>
      <c r="E321" s="406" t="s">
        <v>1698</v>
      </c>
    </row>
    <row r="322" spans="1:5">
      <c r="A322" s="384" t="s">
        <v>270</v>
      </c>
      <c r="B322" s="384" t="s">
        <v>1478</v>
      </c>
      <c r="C322" s="384" t="s">
        <v>268</v>
      </c>
      <c r="D322" s="384">
        <v>6</v>
      </c>
      <c r="E322" s="406" t="s">
        <v>1698</v>
      </c>
    </row>
    <row r="323" spans="1:5">
      <c r="A323" s="384" t="s">
        <v>270</v>
      </c>
      <c r="B323" s="384" t="s">
        <v>1478</v>
      </c>
      <c r="C323" s="384" t="s">
        <v>269</v>
      </c>
      <c r="D323" s="384">
        <v>0</v>
      </c>
      <c r="E323" s="406" t="s">
        <v>1698</v>
      </c>
    </row>
    <row r="324" spans="1:5">
      <c r="A324" s="384" t="s">
        <v>270</v>
      </c>
      <c r="B324" s="384" t="s">
        <v>1479</v>
      </c>
      <c r="C324" s="384" t="s">
        <v>271</v>
      </c>
      <c r="D324" s="384">
        <v>0</v>
      </c>
      <c r="E324" s="406" t="s">
        <v>1698</v>
      </c>
    </row>
    <row r="325" spans="1:5">
      <c r="A325" s="384" t="s">
        <v>270</v>
      </c>
      <c r="B325" s="384" t="s">
        <v>1479</v>
      </c>
      <c r="C325" s="384" t="s">
        <v>272</v>
      </c>
      <c r="D325" s="384">
        <v>0</v>
      </c>
      <c r="E325" s="406" t="s">
        <v>1698</v>
      </c>
    </row>
    <row r="326" spans="1:5">
      <c r="A326" s="384" t="s">
        <v>270</v>
      </c>
      <c r="B326" s="384" t="s">
        <v>1479</v>
      </c>
      <c r="C326" s="384" t="s">
        <v>273</v>
      </c>
      <c r="D326" s="384">
        <v>77</v>
      </c>
      <c r="E326" s="406" t="s">
        <v>1698</v>
      </c>
    </row>
    <row r="327" spans="1:5">
      <c r="A327" s="384" t="s">
        <v>270</v>
      </c>
      <c r="B327" s="384" t="s">
        <v>1479</v>
      </c>
      <c r="C327" s="384" t="s">
        <v>274</v>
      </c>
      <c r="D327" s="384">
        <v>58</v>
      </c>
      <c r="E327" s="406" t="s">
        <v>1698</v>
      </c>
    </row>
    <row r="328" spans="1:5">
      <c r="A328" s="384" t="s">
        <v>270</v>
      </c>
      <c r="B328" s="384" t="s">
        <v>1479</v>
      </c>
      <c r="C328" s="384" t="s">
        <v>275</v>
      </c>
      <c r="D328" s="384">
        <v>25</v>
      </c>
      <c r="E328" s="406" t="s">
        <v>1698</v>
      </c>
    </row>
    <row r="329" spans="1:5">
      <c r="A329" s="384" t="s">
        <v>270</v>
      </c>
      <c r="B329" s="384" t="s">
        <v>1479</v>
      </c>
      <c r="C329" s="384" t="s">
        <v>276</v>
      </c>
      <c r="D329" s="384">
        <v>4</v>
      </c>
      <c r="E329" s="406" t="s">
        <v>1698</v>
      </c>
    </row>
    <row r="330" spans="1:5">
      <c r="A330" s="384" t="s">
        <v>270</v>
      </c>
      <c r="B330" s="384" t="s">
        <v>1479</v>
      </c>
      <c r="C330" s="384" t="s">
        <v>277</v>
      </c>
      <c r="D330" s="384">
        <v>0</v>
      </c>
      <c r="E330" s="406" t="s">
        <v>1698</v>
      </c>
    </row>
    <row r="331" spans="1:5">
      <c r="A331" s="384" t="s">
        <v>270</v>
      </c>
      <c r="B331" s="384" t="s">
        <v>1479</v>
      </c>
      <c r="C331" s="384" t="s">
        <v>278</v>
      </c>
      <c r="D331" s="384">
        <v>0</v>
      </c>
      <c r="E331" s="406" t="s">
        <v>1698</v>
      </c>
    </row>
    <row r="332" spans="1:5">
      <c r="A332" s="384" t="s">
        <v>227</v>
      </c>
      <c r="B332" s="384" t="s">
        <v>1478</v>
      </c>
      <c r="C332" s="384" t="s">
        <v>261</v>
      </c>
      <c r="D332" s="384">
        <v>235</v>
      </c>
      <c r="E332" s="406" t="s">
        <v>1742</v>
      </c>
    </row>
    <row r="333" spans="1:5">
      <c r="A333" s="384" t="s">
        <v>227</v>
      </c>
      <c r="B333" s="384" t="s">
        <v>1478</v>
      </c>
      <c r="C333" s="384" t="s">
        <v>264</v>
      </c>
      <c r="D333" s="384">
        <v>41</v>
      </c>
      <c r="E333" s="406" t="s">
        <v>1742</v>
      </c>
    </row>
    <row r="334" spans="1:5">
      <c r="A334" s="384" t="s">
        <v>227</v>
      </c>
      <c r="B334" s="384" t="s">
        <v>1478</v>
      </c>
      <c r="C334" s="384" t="s">
        <v>265</v>
      </c>
      <c r="D334" s="384">
        <v>0</v>
      </c>
      <c r="E334" s="406" t="s">
        <v>1742</v>
      </c>
    </row>
    <row r="335" spans="1:5">
      <c r="A335" s="384" t="s">
        <v>227</v>
      </c>
      <c r="B335" s="384" t="s">
        <v>1478</v>
      </c>
      <c r="C335" s="384" t="s">
        <v>266</v>
      </c>
      <c r="D335" s="384">
        <v>61</v>
      </c>
      <c r="E335" s="406" t="s">
        <v>1742</v>
      </c>
    </row>
    <row r="336" spans="1:5">
      <c r="A336" s="384" t="s">
        <v>227</v>
      </c>
      <c r="B336" s="384" t="s">
        <v>1478</v>
      </c>
      <c r="C336" s="384" t="s">
        <v>267</v>
      </c>
      <c r="D336" s="384">
        <v>6</v>
      </c>
      <c r="E336" s="406" t="s">
        <v>1742</v>
      </c>
    </row>
    <row r="337" spans="1:5">
      <c r="A337" s="384" t="s">
        <v>227</v>
      </c>
      <c r="B337" s="384" t="s">
        <v>1478</v>
      </c>
      <c r="C337" s="384" t="s">
        <v>268</v>
      </c>
      <c r="D337" s="384">
        <v>0</v>
      </c>
      <c r="E337" s="406" t="s">
        <v>1742</v>
      </c>
    </row>
    <row r="338" spans="1:5">
      <c r="A338" s="384" t="s">
        <v>227</v>
      </c>
      <c r="B338" s="384" t="s">
        <v>1478</v>
      </c>
      <c r="C338" s="384" t="s">
        <v>269</v>
      </c>
      <c r="D338" s="384">
        <v>0</v>
      </c>
      <c r="E338" s="406" t="s">
        <v>1742</v>
      </c>
    </row>
    <row r="339" spans="1:5">
      <c r="A339" s="384" t="s">
        <v>227</v>
      </c>
      <c r="B339" s="384" t="s">
        <v>1479</v>
      </c>
      <c r="C339" s="384" t="s">
        <v>271</v>
      </c>
      <c r="D339" s="384">
        <v>2</v>
      </c>
      <c r="E339" s="406" t="s">
        <v>1742</v>
      </c>
    </row>
    <row r="340" spans="1:5">
      <c r="A340" s="384" t="s">
        <v>227</v>
      </c>
      <c r="B340" s="384" t="s">
        <v>1479</v>
      </c>
      <c r="C340" s="384" t="s">
        <v>272</v>
      </c>
      <c r="D340" s="384">
        <v>283</v>
      </c>
      <c r="E340" s="406" t="s">
        <v>1742</v>
      </c>
    </row>
    <row r="341" spans="1:5">
      <c r="A341" s="384" t="s">
        <v>227</v>
      </c>
      <c r="B341" s="384" t="s">
        <v>1479</v>
      </c>
      <c r="C341" s="384" t="s">
        <v>273</v>
      </c>
      <c r="D341" s="384">
        <v>344</v>
      </c>
      <c r="E341" s="406" t="s">
        <v>1742</v>
      </c>
    </row>
    <row r="342" spans="1:5">
      <c r="A342" s="384" t="s">
        <v>227</v>
      </c>
      <c r="B342" s="384" t="s">
        <v>1479</v>
      </c>
      <c r="C342" s="384" t="s">
        <v>274</v>
      </c>
      <c r="D342" s="384">
        <v>68</v>
      </c>
      <c r="E342" s="406" t="s">
        <v>1742</v>
      </c>
    </row>
    <row r="343" spans="1:5">
      <c r="A343" s="384" t="s">
        <v>227</v>
      </c>
      <c r="B343" s="384" t="s">
        <v>1479</v>
      </c>
      <c r="C343" s="384" t="s">
        <v>275</v>
      </c>
      <c r="D343" s="384">
        <v>22</v>
      </c>
      <c r="E343" s="406" t="s">
        <v>1742</v>
      </c>
    </row>
    <row r="344" spans="1:5">
      <c r="A344" s="384" t="s">
        <v>227</v>
      </c>
      <c r="B344" s="384" t="s">
        <v>1479</v>
      </c>
      <c r="C344" s="384" t="s">
        <v>276</v>
      </c>
      <c r="D344" s="384">
        <v>11</v>
      </c>
      <c r="E344" s="406" t="s">
        <v>1742</v>
      </c>
    </row>
    <row r="345" spans="1:5">
      <c r="A345" s="384" t="s">
        <v>227</v>
      </c>
      <c r="B345" s="384" t="s">
        <v>1479</v>
      </c>
      <c r="C345" s="384" t="s">
        <v>277</v>
      </c>
      <c r="D345" s="384">
        <v>1</v>
      </c>
      <c r="E345" s="406" t="s">
        <v>1742</v>
      </c>
    </row>
    <row r="346" spans="1:5">
      <c r="A346" s="384" t="s">
        <v>227</v>
      </c>
      <c r="B346" s="384" t="s">
        <v>1479</v>
      </c>
      <c r="C346" s="384" t="s">
        <v>278</v>
      </c>
      <c r="D346" s="384">
        <v>0</v>
      </c>
      <c r="E346" s="406" t="s">
        <v>1742</v>
      </c>
    </row>
    <row r="347" spans="1:5">
      <c r="A347" s="384" t="s">
        <v>270</v>
      </c>
      <c r="B347" s="384" t="s">
        <v>1478</v>
      </c>
      <c r="C347" s="384" t="s">
        <v>261</v>
      </c>
      <c r="D347" s="384">
        <v>2972</v>
      </c>
      <c r="E347" s="406" t="s">
        <v>1742</v>
      </c>
    </row>
    <row r="348" spans="1:5">
      <c r="A348" s="384" t="s">
        <v>270</v>
      </c>
      <c r="B348" s="384" t="s">
        <v>1478</v>
      </c>
      <c r="C348" s="384" t="s">
        <v>264</v>
      </c>
      <c r="D348" s="384">
        <v>733</v>
      </c>
      <c r="E348" s="406" t="s">
        <v>1742</v>
      </c>
    </row>
    <row r="349" spans="1:5">
      <c r="A349" s="384" t="s">
        <v>270</v>
      </c>
      <c r="B349" s="384" t="s">
        <v>1478</v>
      </c>
      <c r="C349" s="384" t="s">
        <v>265</v>
      </c>
      <c r="D349" s="384">
        <v>167</v>
      </c>
      <c r="E349" s="406" t="s">
        <v>1742</v>
      </c>
    </row>
    <row r="350" spans="1:5">
      <c r="A350" s="384" t="s">
        <v>270</v>
      </c>
      <c r="B350" s="384" t="s">
        <v>1478</v>
      </c>
      <c r="C350" s="384" t="s">
        <v>266</v>
      </c>
      <c r="D350" s="384">
        <v>144</v>
      </c>
      <c r="E350" s="406" t="s">
        <v>1742</v>
      </c>
    </row>
    <row r="351" spans="1:5">
      <c r="A351" s="384" t="s">
        <v>270</v>
      </c>
      <c r="B351" s="384" t="s">
        <v>1478</v>
      </c>
      <c r="C351" s="384" t="s">
        <v>267</v>
      </c>
      <c r="D351" s="384">
        <v>60</v>
      </c>
      <c r="E351" s="406" t="s">
        <v>1742</v>
      </c>
    </row>
    <row r="352" spans="1:5">
      <c r="A352" s="384" t="s">
        <v>270</v>
      </c>
      <c r="B352" s="384" t="s">
        <v>1478</v>
      </c>
      <c r="C352" s="384" t="s">
        <v>268</v>
      </c>
      <c r="D352" s="384">
        <v>6</v>
      </c>
      <c r="E352" s="406" t="s">
        <v>1742</v>
      </c>
    </row>
    <row r="353" spans="1:5">
      <c r="A353" s="384" t="s">
        <v>270</v>
      </c>
      <c r="B353" s="384" t="s">
        <v>1478</v>
      </c>
      <c r="C353" s="384" t="s">
        <v>269</v>
      </c>
      <c r="D353" s="384">
        <v>0</v>
      </c>
      <c r="E353" s="406" t="s">
        <v>1742</v>
      </c>
    </row>
    <row r="354" spans="1:5">
      <c r="A354" s="384" t="s">
        <v>270</v>
      </c>
      <c r="B354" s="384" t="s">
        <v>1479</v>
      </c>
      <c r="C354" s="384" t="s">
        <v>271</v>
      </c>
      <c r="D354" s="384">
        <v>0</v>
      </c>
      <c r="E354" s="406" t="s">
        <v>1742</v>
      </c>
    </row>
    <row r="355" spans="1:5">
      <c r="A355" s="384" t="s">
        <v>270</v>
      </c>
      <c r="B355" s="384" t="s">
        <v>1479</v>
      </c>
      <c r="C355" s="384" t="s">
        <v>272</v>
      </c>
      <c r="D355" s="384">
        <v>30</v>
      </c>
      <c r="E355" s="406" t="s">
        <v>1742</v>
      </c>
    </row>
    <row r="356" spans="1:5">
      <c r="A356" s="384" t="s">
        <v>270</v>
      </c>
      <c r="B356" s="384" t="s">
        <v>1479</v>
      </c>
      <c r="C356" s="384" t="s">
        <v>273</v>
      </c>
      <c r="D356" s="384">
        <v>77</v>
      </c>
      <c r="E356" s="406" t="s">
        <v>1742</v>
      </c>
    </row>
    <row r="357" spans="1:5">
      <c r="A357" s="384" t="s">
        <v>270</v>
      </c>
      <c r="B357" s="384" t="s">
        <v>1479</v>
      </c>
      <c r="C357" s="384" t="s">
        <v>274</v>
      </c>
      <c r="D357" s="384">
        <v>58</v>
      </c>
      <c r="E357" s="406" t="s">
        <v>1742</v>
      </c>
    </row>
    <row r="358" spans="1:5">
      <c r="A358" s="384" t="s">
        <v>270</v>
      </c>
      <c r="B358" s="384" t="s">
        <v>1479</v>
      </c>
      <c r="C358" s="384" t="s">
        <v>275</v>
      </c>
      <c r="D358" s="384">
        <v>25</v>
      </c>
      <c r="E358" s="406" t="s">
        <v>1742</v>
      </c>
    </row>
    <row r="359" spans="1:5">
      <c r="A359" s="384" t="s">
        <v>270</v>
      </c>
      <c r="B359" s="384" t="s">
        <v>1479</v>
      </c>
      <c r="C359" s="384" t="s">
        <v>276</v>
      </c>
      <c r="D359" s="384">
        <v>4</v>
      </c>
      <c r="E359" s="406" t="s">
        <v>1742</v>
      </c>
    </row>
    <row r="360" spans="1:5">
      <c r="A360" s="384" t="s">
        <v>270</v>
      </c>
      <c r="B360" s="384" t="s">
        <v>1479</v>
      </c>
      <c r="C360" s="384" t="s">
        <v>277</v>
      </c>
      <c r="D360" s="384">
        <v>0</v>
      </c>
      <c r="E360" s="406" t="s">
        <v>1742</v>
      </c>
    </row>
    <row r="361" spans="1:5">
      <c r="A361" s="384" t="s">
        <v>270</v>
      </c>
      <c r="B361" s="384" t="s">
        <v>1479</v>
      </c>
      <c r="C361" s="384" t="s">
        <v>278</v>
      </c>
      <c r="D361" s="384">
        <v>0</v>
      </c>
      <c r="E361" s="406" t="s">
        <v>1742</v>
      </c>
    </row>
    <row r="362" spans="1:5">
      <c r="A362" s="384" t="s">
        <v>227</v>
      </c>
      <c r="B362" s="384" t="s">
        <v>1478</v>
      </c>
      <c r="C362" s="384" t="s">
        <v>261</v>
      </c>
      <c r="D362" s="384">
        <v>0</v>
      </c>
      <c r="E362" s="406" t="s">
        <v>1724</v>
      </c>
    </row>
    <row r="363" spans="1:5">
      <c r="A363" s="384" t="s">
        <v>227</v>
      </c>
      <c r="B363" s="384" t="s">
        <v>1478</v>
      </c>
      <c r="C363" s="384" t="s">
        <v>264</v>
      </c>
      <c r="D363" s="384">
        <v>0</v>
      </c>
      <c r="E363" s="406" t="s">
        <v>1724</v>
      </c>
    </row>
    <row r="364" spans="1:5">
      <c r="A364" s="384" t="s">
        <v>227</v>
      </c>
      <c r="B364" s="384" t="s">
        <v>1478</v>
      </c>
      <c r="C364" s="384" t="s">
        <v>265</v>
      </c>
      <c r="D364" s="384">
        <v>0</v>
      </c>
      <c r="E364" s="406" t="s">
        <v>1724</v>
      </c>
    </row>
    <row r="365" spans="1:5">
      <c r="A365" s="384" t="s">
        <v>227</v>
      </c>
      <c r="B365" s="384" t="s">
        <v>1478</v>
      </c>
      <c r="C365" s="384" t="s">
        <v>266</v>
      </c>
      <c r="D365" s="384">
        <v>56</v>
      </c>
      <c r="E365" s="406" t="s">
        <v>1724</v>
      </c>
    </row>
    <row r="366" spans="1:5">
      <c r="A366" s="384" t="s">
        <v>227</v>
      </c>
      <c r="B366" s="384" t="s">
        <v>1478</v>
      </c>
      <c r="C366" s="384" t="s">
        <v>267</v>
      </c>
      <c r="D366" s="384">
        <v>4</v>
      </c>
      <c r="E366" s="406" t="s">
        <v>1724</v>
      </c>
    </row>
    <row r="367" spans="1:5">
      <c r="A367" s="384" t="s">
        <v>227</v>
      </c>
      <c r="B367" s="384" t="s">
        <v>1478</v>
      </c>
      <c r="C367" s="384" t="s">
        <v>268</v>
      </c>
      <c r="D367" s="384">
        <v>0</v>
      </c>
      <c r="E367" s="406" t="s">
        <v>1724</v>
      </c>
    </row>
    <row r="368" spans="1:5">
      <c r="A368" s="384" t="s">
        <v>227</v>
      </c>
      <c r="B368" s="384" t="s">
        <v>1478</v>
      </c>
      <c r="C368" s="384" t="s">
        <v>269</v>
      </c>
      <c r="D368" s="384">
        <v>0</v>
      </c>
      <c r="E368" s="406" t="s">
        <v>1724</v>
      </c>
    </row>
    <row r="369" spans="1:5">
      <c r="A369" s="384" t="s">
        <v>227</v>
      </c>
      <c r="B369" s="384" t="s">
        <v>1479</v>
      </c>
      <c r="C369" s="384" t="s">
        <v>271</v>
      </c>
      <c r="D369" s="384">
        <v>2</v>
      </c>
      <c r="E369" s="406" t="s">
        <v>1724</v>
      </c>
    </row>
    <row r="370" spans="1:5">
      <c r="A370" s="384" t="s">
        <v>227</v>
      </c>
      <c r="B370" s="384" t="s">
        <v>1479</v>
      </c>
      <c r="C370" s="384" t="s">
        <v>272</v>
      </c>
      <c r="D370" s="384">
        <v>163</v>
      </c>
      <c r="E370" s="406" t="s">
        <v>1724</v>
      </c>
    </row>
    <row r="371" spans="1:5">
      <c r="A371" s="384" t="s">
        <v>227</v>
      </c>
      <c r="B371" s="384" t="s">
        <v>1479</v>
      </c>
      <c r="C371" s="384" t="s">
        <v>273</v>
      </c>
      <c r="D371" s="384">
        <v>330</v>
      </c>
      <c r="E371" s="406" t="s">
        <v>1724</v>
      </c>
    </row>
    <row r="372" spans="1:5">
      <c r="A372" s="384" t="s">
        <v>227</v>
      </c>
      <c r="B372" s="384" t="s">
        <v>1479</v>
      </c>
      <c r="C372" s="384" t="s">
        <v>274</v>
      </c>
      <c r="D372" s="384">
        <v>60</v>
      </c>
      <c r="E372" s="406" t="s">
        <v>1724</v>
      </c>
    </row>
    <row r="373" spans="1:5">
      <c r="A373" s="384" t="s">
        <v>227</v>
      </c>
      <c r="B373" s="384" t="s">
        <v>1479</v>
      </c>
      <c r="C373" s="384" t="s">
        <v>275</v>
      </c>
      <c r="D373" s="384">
        <v>17</v>
      </c>
      <c r="E373" s="406" t="s">
        <v>1724</v>
      </c>
    </row>
    <row r="374" spans="1:5">
      <c r="A374" s="384" t="s">
        <v>227</v>
      </c>
      <c r="B374" s="384" t="s">
        <v>1479</v>
      </c>
      <c r="C374" s="384" t="s">
        <v>276</v>
      </c>
      <c r="D374" s="384">
        <v>7</v>
      </c>
      <c r="E374" s="406" t="s">
        <v>1724</v>
      </c>
    </row>
    <row r="375" spans="1:5">
      <c r="A375" s="384" t="s">
        <v>227</v>
      </c>
      <c r="B375" s="384" t="s">
        <v>1479</v>
      </c>
      <c r="C375" s="384" t="s">
        <v>277</v>
      </c>
      <c r="D375" s="384">
        <v>1</v>
      </c>
      <c r="E375" s="406" t="s">
        <v>1724</v>
      </c>
    </row>
    <row r="376" spans="1:5">
      <c r="A376" s="384" t="s">
        <v>227</v>
      </c>
      <c r="B376" s="384" t="s">
        <v>1479</v>
      </c>
      <c r="C376" s="384" t="s">
        <v>278</v>
      </c>
      <c r="D376" s="384">
        <v>0</v>
      </c>
      <c r="E376" s="406" t="s">
        <v>1724</v>
      </c>
    </row>
    <row r="377" spans="1:5">
      <c r="A377" s="384" t="s">
        <v>270</v>
      </c>
      <c r="B377" s="384" t="s">
        <v>1478</v>
      </c>
      <c r="C377" s="384" t="s">
        <v>261</v>
      </c>
      <c r="D377" s="384">
        <v>2749</v>
      </c>
      <c r="E377" s="406" t="s">
        <v>1724</v>
      </c>
    </row>
    <row r="378" spans="1:5">
      <c r="A378" s="384" t="s">
        <v>270</v>
      </c>
      <c r="B378" s="384" t="s">
        <v>1478</v>
      </c>
      <c r="C378" s="384" t="s">
        <v>264</v>
      </c>
      <c r="D378" s="384">
        <v>653</v>
      </c>
      <c r="E378" s="406" t="s">
        <v>1724</v>
      </c>
    </row>
    <row r="379" spans="1:5">
      <c r="A379" s="384" t="s">
        <v>270</v>
      </c>
      <c r="B379" s="384" t="s">
        <v>1478</v>
      </c>
      <c r="C379" s="384" t="s">
        <v>265</v>
      </c>
      <c r="D379" s="384">
        <v>141</v>
      </c>
      <c r="E379" s="406" t="s">
        <v>1724</v>
      </c>
    </row>
    <row r="380" spans="1:5">
      <c r="A380" s="384" t="s">
        <v>270</v>
      </c>
      <c r="B380" s="384" t="s">
        <v>1478</v>
      </c>
      <c r="C380" s="384" t="s">
        <v>266</v>
      </c>
      <c r="D380" s="384">
        <v>144</v>
      </c>
      <c r="E380" s="406" t="s">
        <v>1724</v>
      </c>
    </row>
    <row r="381" spans="1:5">
      <c r="A381" s="384" t="s">
        <v>270</v>
      </c>
      <c r="B381" s="384" t="s">
        <v>1478</v>
      </c>
      <c r="C381" s="384" t="s">
        <v>267</v>
      </c>
      <c r="D381" s="384">
        <v>58</v>
      </c>
      <c r="E381" s="406" t="s">
        <v>1724</v>
      </c>
    </row>
    <row r="382" spans="1:5">
      <c r="A382" s="384" t="s">
        <v>270</v>
      </c>
      <c r="B382" s="384" t="s">
        <v>1478</v>
      </c>
      <c r="C382" s="384" t="s">
        <v>268</v>
      </c>
      <c r="D382" s="384">
        <v>4</v>
      </c>
      <c r="E382" s="406" t="s">
        <v>1724</v>
      </c>
    </row>
    <row r="383" spans="1:5">
      <c r="A383" s="384" t="s">
        <v>270</v>
      </c>
      <c r="B383" s="384" t="s">
        <v>1478</v>
      </c>
      <c r="C383" s="384" t="s">
        <v>269</v>
      </c>
      <c r="D383" s="384">
        <v>0</v>
      </c>
      <c r="E383" s="406" t="s">
        <v>1724</v>
      </c>
    </row>
    <row r="384" spans="1:5">
      <c r="A384" s="384" t="s">
        <v>270</v>
      </c>
      <c r="B384" s="384" t="s">
        <v>1479</v>
      </c>
      <c r="C384" s="384" t="s">
        <v>271</v>
      </c>
      <c r="D384" s="384">
        <v>0</v>
      </c>
      <c r="E384" s="406" t="s">
        <v>1724</v>
      </c>
    </row>
    <row r="385" spans="1:5">
      <c r="A385" s="384" t="s">
        <v>270</v>
      </c>
      <c r="B385" s="384" t="s">
        <v>1479</v>
      </c>
      <c r="C385" s="384" t="s">
        <v>272</v>
      </c>
      <c r="D385" s="384">
        <v>30</v>
      </c>
      <c r="E385" s="406" t="s">
        <v>1724</v>
      </c>
    </row>
    <row r="386" spans="1:5">
      <c r="A386" s="384" t="s">
        <v>270</v>
      </c>
      <c r="B386" s="384" t="s">
        <v>1479</v>
      </c>
      <c r="C386" s="384" t="s">
        <v>273</v>
      </c>
      <c r="D386" s="384">
        <v>77</v>
      </c>
      <c r="E386" s="406" t="s">
        <v>1724</v>
      </c>
    </row>
    <row r="387" spans="1:5">
      <c r="A387" s="384" t="s">
        <v>270</v>
      </c>
      <c r="B387" s="384" t="s">
        <v>1479</v>
      </c>
      <c r="C387" s="384" t="s">
        <v>274</v>
      </c>
      <c r="D387" s="384">
        <v>58</v>
      </c>
      <c r="E387" s="406" t="s">
        <v>1724</v>
      </c>
    </row>
    <row r="388" spans="1:5">
      <c r="A388" s="384" t="s">
        <v>270</v>
      </c>
      <c r="B388" s="384" t="s">
        <v>1479</v>
      </c>
      <c r="C388" s="384" t="s">
        <v>275</v>
      </c>
      <c r="D388" s="384">
        <v>25</v>
      </c>
      <c r="E388" s="406" t="s">
        <v>1724</v>
      </c>
    </row>
    <row r="389" spans="1:5">
      <c r="A389" s="384" t="s">
        <v>270</v>
      </c>
      <c r="B389" s="384" t="s">
        <v>1479</v>
      </c>
      <c r="C389" s="384" t="s">
        <v>276</v>
      </c>
      <c r="D389" s="384">
        <v>4</v>
      </c>
      <c r="E389" s="406" t="s">
        <v>1724</v>
      </c>
    </row>
    <row r="390" spans="1:5">
      <c r="A390" s="384" t="s">
        <v>270</v>
      </c>
      <c r="B390" s="384" t="s">
        <v>1479</v>
      </c>
      <c r="C390" s="384" t="s">
        <v>277</v>
      </c>
      <c r="D390" s="384">
        <v>0</v>
      </c>
      <c r="E390" s="406" t="s">
        <v>1724</v>
      </c>
    </row>
    <row r="391" spans="1:5">
      <c r="A391" s="384" t="s">
        <v>270</v>
      </c>
      <c r="B391" s="384" t="s">
        <v>1479</v>
      </c>
      <c r="C391" s="384" t="s">
        <v>278</v>
      </c>
      <c r="D391" s="384">
        <v>0</v>
      </c>
      <c r="E391" s="406" t="s">
        <v>1724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14" sqref="E14"/>
    </sheetView>
  </sheetViews>
  <sheetFormatPr defaultColWidth="9" defaultRowHeight="13.8"/>
  <cols>
    <col min="1" max="1" width="12.21875" style="252" customWidth="1"/>
    <col min="2" max="2" width="14.21875" style="252" customWidth="1"/>
    <col min="3" max="3" width="12.21875" style="156" customWidth="1"/>
    <col min="4" max="4" width="13.77734375" style="206" customWidth="1"/>
    <col min="5" max="5" width="16.21875" style="160" customWidth="1"/>
    <col min="6" max="6" width="9.21875" style="157" customWidth="1"/>
    <col min="7" max="7" width="6.21875" style="132" customWidth="1"/>
    <col min="8" max="8" width="5.21875" style="138" customWidth="1"/>
    <col min="9" max="9" width="10.77734375" style="139" customWidth="1"/>
    <col min="10" max="10" width="18.21875" style="139" customWidth="1"/>
    <col min="11" max="11" width="6.21875" style="140" customWidth="1"/>
    <col min="12" max="12" width="9.21875" style="141" customWidth="1"/>
    <col min="13" max="13" width="5.21875" style="140" customWidth="1"/>
    <col min="14" max="14" width="6.21875" style="132" customWidth="1"/>
    <col min="15" max="15" width="5" style="132" customWidth="1"/>
    <col min="16" max="16" width="9.77734375" style="142" customWidth="1"/>
    <col min="17" max="17" width="9.77734375" style="132" customWidth="1"/>
    <col min="18" max="18" width="9.77734375" style="134" customWidth="1"/>
    <col min="19" max="19" width="11.21875" style="123" customWidth="1"/>
    <col min="20" max="20" width="24.777343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166</v>
      </c>
      <c r="B1" s="99" t="s">
        <v>245</v>
      </c>
      <c r="C1" s="100" t="s">
        <v>246</v>
      </c>
      <c r="D1" s="100" t="s">
        <v>193</v>
      </c>
      <c r="E1" s="101" t="s">
        <v>247</v>
      </c>
      <c r="F1" s="102" t="s">
        <v>196</v>
      </c>
      <c r="G1" s="100" t="s">
        <v>248</v>
      </c>
      <c r="H1" s="103" t="s">
        <v>249</v>
      </c>
      <c r="I1" s="104" t="s">
        <v>250</v>
      </c>
      <c r="J1" s="104" t="s">
        <v>251</v>
      </c>
      <c r="K1" s="105" t="s">
        <v>201</v>
      </c>
      <c r="L1" s="106" t="s">
        <v>252</v>
      </c>
      <c r="M1" s="106" t="s">
        <v>253</v>
      </c>
      <c r="N1" s="103" t="s">
        <v>254</v>
      </c>
      <c r="O1" s="103" t="s">
        <v>255</v>
      </c>
      <c r="P1" s="107" t="s">
        <v>256</v>
      </c>
      <c r="Q1" s="103" t="s">
        <v>257</v>
      </c>
      <c r="R1" s="108" t="s">
        <v>258</v>
      </c>
      <c r="S1" s="109" t="s">
        <v>259</v>
      </c>
      <c r="T1" s="110" t="s">
        <v>260</v>
      </c>
      <c r="U1" s="111"/>
    </row>
    <row r="2" spans="1:21" s="119" customFormat="1" ht="15" customHeight="1">
      <c r="A2" s="113" t="s">
        <v>285</v>
      </c>
      <c r="B2" s="114" t="str">
        <f>VLOOKUP(A2,'Data pick slip'!B:F,5,FALSE)</f>
        <v>KHJ-MC100-00</v>
      </c>
      <c r="C2" s="115" t="s">
        <v>374</v>
      </c>
      <c r="D2" s="115"/>
      <c r="E2" s="301"/>
      <c r="F2" s="116" t="s">
        <v>375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264</v>
      </c>
      <c r="B3" s="114" t="str">
        <f>VLOOKUP(A3,'Data pick slip'!B:F,5,FALSE)</f>
        <v>KHJ-MC200-00</v>
      </c>
      <c r="C3" s="115" t="s">
        <v>374</v>
      </c>
      <c r="D3" s="115"/>
      <c r="E3" s="301"/>
      <c r="F3" s="116" t="s">
        <v>375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265</v>
      </c>
      <c r="B4" s="114" t="str">
        <f>VLOOKUP(A4,'Data pick slip'!B:F,5,FALSE)</f>
        <v>KHJ-MC400-00</v>
      </c>
      <c r="C4" s="115" t="s">
        <v>374</v>
      </c>
      <c r="D4" s="115"/>
      <c r="E4" s="301"/>
      <c r="F4" s="116" t="s">
        <v>375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329</v>
      </c>
      <c r="B5" s="114" t="str">
        <f>VLOOKUP(A5,'Data pick slip'!B:F,5,FALSE)</f>
        <v>KHJ-MC500-00</v>
      </c>
      <c r="C5" s="115" t="s">
        <v>374</v>
      </c>
      <c r="D5" s="115"/>
      <c r="E5" s="301"/>
      <c r="F5" s="116" t="s">
        <v>375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331</v>
      </c>
      <c r="B6" s="114" t="str">
        <f>VLOOKUP(A6,'Data pick slip'!B:F,5,FALSE)</f>
        <v>KHJ-MC600-00</v>
      </c>
      <c r="C6" s="115" t="s">
        <v>374</v>
      </c>
      <c r="D6" s="115"/>
      <c r="E6" s="301"/>
      <c r="F6" s="116" t="s">
        <v>375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268</v>
      </c>
      <c r="B7" s="114" t="str">
        <f>VLOOKUP(A7,'Data pick slip'!B:F,5,FALSE)</f>
        <v>KHJ-MC700-00</v>
      </c>
      <c r="C7" s="115" t="s">
        <v>374</v>
      </c>
      <c r="D7" s="115"/>
      <c r="E7" s="301"/>
      <c r="F7" s="116" t="s">
        <v>375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335</v>
      </c>
      <c r="B8" s="114" t="str">
        <f>VLOOKUP(A8,'Data pick slip'!B:F,5,FALSE)</f>
        <v>KHJ-MC800-00</v>
      </c>
      <c r="C8" s="115" t="s">
        <v>374</v>
      </c>
      <c r="D8" s="115"/>
      <c r="E8" s="301"/>
      <c r="F8" s="116" t="s">
        <v>375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272</v>
      </c>
      <c r="B9" s="114" t="str">
        <f>VLOOKUP(A9,'Data pick slip'!B:F,5,FALSE)</f>
        <v>KLJ-MC100-00</v>
      </c>
      <c r="C9" s="115" t="s">
        <v>374</v>
      </c>
      <c r="D9" s="115"/>
      <c r="E9" s="301"/>
      <c r="F9" s="116" t="s">
        <v>375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376</v>
      </c>
      <c r="B10" s="114" t="str">
        <f>VLOOKUP(A10,'Data pick slip'!B:F,5,FALSE)</f>
        <v>KLJ-MC200-00</v>
      </c>
      <c r="C10" s="115" t="s">
        <v>374</v>
      </c>
      <c r="D10" s="115"/>
      <c r="E10" s="301"/>
      <c r="F10" s="116" t="s">
        <v>375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274</v>
      </c>
      <c r="B11" s="114" t="str">
        <f>VLOOKUP(A11,'Data pick slip'!B:F,5,FALSE)</f>
        <v>KLJ-MC400-00</v>
      </c>
      <c r="C11" s="115" t="s">
        <v>374</v>
      </c>
      <c r="D11" s="115"/>
      <c r="E11" s="301"/>
      <c r="F11" s="116" t="s">
        <v>375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</v>
      </c>
      <c r="B12" s="114" t="str">
        <f>VLOOKUP(A12,'Data pick slip'!B:F,5,FALSE)</f>
        <v>KLJ-MC500-00</v>
      </c>
      <c r="C12" s="115" t="s">
        <v>374</v>
      </c>
      <c r="D12" s="115"/>
      <c r="E12" s="301"/>
      <c r="F12" s="116" t="s">
        <v>375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276</v>
      </c>
      <c r="B13" s="114" t="str">
        <f>VLOOKUP(A13,'Data pick slip'!B:F,5,FALSE)</f>
        <v>KLJ-MC600-00</v>
      </c>
      <c r="C13" s="115" t="s">
        <v>374</v>
      </c>
      <c r="D13" s="115"/>
      <c r="E13" s="301"/>
      <c r="F13" s="116" t="s">
        <v>375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277</v>
      </c>
      <c r="B14" s="114" t="str">
        <f>VLOOKUP(A14,'Data pick slip'!B:F,5,FALSE)</f>
        <v>KLJ-MC700-00</v>
      </c>
      <c r="C14" s="115" t="s">
        <v>374</v>
      </c>
      <c r="D14" s="115"/>
      <c r="E14" s="301"/>
      <c r="F14" s="116" t="s">
        <v>375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261</v>
      </c>
      <c r="B15" s="114" t="str">
        <f>VLOOKUP(A15,'Data pick slip'!B:F,5,FALSE)</f>
        <v>KHJ-MC100-00</v>
      </c>
      <c r="C15" s="115" t="s">
        <v>377</v>
      </c>
      <c r="D15" s="115"/>
      <c r="E15" s="301"/>
      <c r="F15" s="116" t="s">
        <v>375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264</v>
      </c>
      <c r="B16" s="114" t="str">
        <f>VLOOKUP(A16,'Data pick slip'!B:F,5,FALSE)</f>
        <v>KHJ-MC200-00</v>
      </c>
      <c r="C16" s="115" t="s">
        <v>377</v>
      </c>
      <c r="D16" s="115"/>
      <c r="E16" s="301"/>
      <c r="F16" s="116" t="s">
        <v>375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265</v>
      </c>
      <c r="B17" s="114" t="str">
        <f>VLOOKUP(A17,'Data pick slip'!B:F,5,FALSE)</f>
        <v>KHJ-MC400-00</v>
      </c>
      <c r="C17" s="115" t="s">
        <v>377</v>
      </c>
      <c r="D17" s="115"/>
      <c r="E17" s="301"/>
      <c r="F17" s="116" t="s">
        <v>375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329</v>
      </c>
      <c r="B18" s="114" t="str">
        <f>VLOOKUP(A18,'Data pick slip'!B:F,5,FALSE)</f>
        <v>KHJ-MC500-00</v>
      </c>
      <c r="C18" s="115" t="s">
        <v>377</v>
      </c>
      <c r="D18" s="115"/>
      <c r="E18" s="301"/>
      <c r="F18" s="116" t="s">
        <v>375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331</v>
      </c>
      <c r="B19" s="114" t="str">
        <f>VLOOKUP(A19,'Data pick slip'!B:F,5,FALSE)</f>
        <v>KHJ-MC600-00</v>
      </c>
      <c r="C19" s="115" t="s">
        <v>377</v>
      </c>
      <c r="D19" s="115"/>
      <c r="E19" s="301"/>
      <c r="F19" s="116" t="s">
        <v>375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285</v>
      </c>
      <c r="B20" s="114" t="str">
        <f>VLOOKUP(A20,'Data pick slip'!B:F,5,FALSE)</f>
        <v>KHJ-MC100-00</v>
      </c>
      <c r="C20" s="115" t="s">
        <v>374</v>
      </c>
      <c r="D20" s="115"/>
      <c r="E20" s="301"/>
      <c r="F20" s="116" t="s">
        <v>378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285</v>
      </c>
      <c r="B21" s="114" t="str">
        <f>VLOOKUP(A21,'Data pick slip'!B:F,5,FALSE)</f>
        <v>KHJ-MC100-00</v>
      </c>
      <c r="C21" s="115" t="s">
        <v>374</v>
      </c>
      <c r="D21" s="115"/>
      <c r="E21" s="301"/>
      <c r="F21" s="116" t="s">
        <v>378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285</v>
      </c>
      <c r="B22" s="114" t="str">
        <f>VLOOKUP(A22,'Data pick slip'!B:F,5,FALSE)</f>
        <v>KHJ-MC100-00</v>
      </c>
      <c r="C22" s="115" t="s">
        <v>374</v>
      </c>
      <c r="D22" s="115"/>
      <c r="E22" s="301"/>
      <c r="F22" s="116" t="s">
        <v>378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285</v>
      </c>
      <c r="B23" s="114" t="str">
        <f>VLOOKUP(A23,'Data pick slip'!B:F,5,FALSE)</f>
        <v>KHJ-MC100-00</v>
      </c>
      <c r="C23" s="115">
        <v>109382</v>
      </c>
      <c r="D23" s="115" t="e">
        <f>VLOOKUP(C23,Stock_list!D:L,2,FALSE)</f>
        <v>#N/A</v>
      </c>
      <c r="E23" s="301"/>
      <c r="F23" s="116" t="s">
        <v>378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285</v>
      </c>
      <c r="B24" s="114" t="str">
        <f>VLOOKUP(A24,'Data pick slip'!B:F,5,FALSE)</f>
        <v>KHJ-MC100-00</v>
      </c>
      <c r="C24" s="115">
        <v>109264</v>
      </c>
      <c r="D24" s="115" t="e">
        <f>VLOOKUP(C24,Stock_list!D:L,2,FALSE)</f>
        <v>#N/A</v>
      </c>
      <c r="E24" s="137"/>
      <c r="F24" s="116" t="s">
        <v>378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285</v>
      </c>
      <c r="B25" s="114" t="str">
        <f>VLOOKUP(A25,'Data pick slip'!B:F,5,FALSE)</f>
        <v>KHJ-MC100-00</v>
      </c>
      <c r="C25" s="115">
        <v>109264</v>
      </c>
      <c r="D25" s="115" t="e">
        <f>VLOOKUP(C25,Stock_list!D:L,2,FALSE)</f>
        <v>#N/A</v>
      </c>
      <c r="E25" s="137"/>
      <c r="F25" s="116" t="s">
        <v>378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326</v>
      </c>
      <c r="B26" s="114" t="str">
        <f>VLOOKUP(A26,'Data pick slip'!B:F,5,FALSE)</f>
        <v>KHJ-MC200-00</v>
      </c>
      <c r="C26" s="115" t="s">
        <v>374</v>
      </c>
      <c r="D26" s="115"/>
      <c r="E26" s="137"/>
      <c r="F26" s="116" t="s">
        <v>379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264</v>
      </c>
      <c r="B27" s="114" t="str">
        <f>VLOOKUP(A27,'Data pick slip'!B:F,5,FALSE)</f>
        <v>KHJ-MC200-00</v>
      </c>
      <c r="C27" s="115" t="s">
        <v>374</v>
      </c>
      <c r="D27" s="115"/>
      <c r="E27" s="137"/>
      <c r="F27" s="116" t="s">
        <v>379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264</v>
      </c>
      <c r="B28" s="114" t="str">
        <f>VLOOKUP(A28,'Data pick slip'!B:F,5,FALSE)</f>
        <v>KHJ-MC200-00</v>
      </c>
      <c r="C28" s="115" t="s">
        <v>374</v>
      </c>
      <c r="D28" s="115"/>
      <c r="E28" s="137"/>
      <c r="F28" s="116" t="s">
        <v>379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294</v>
      </c>
      <c r="B29" s="114" t="str">
        <f>VLOOKUP(A29,'Data pick slip'!B:F,5,FALSE)</f>
        <v>KHJ-MC400-00</v>
      </c>
      <c r="C29" s="115" t="s">
        <v>374</v>
      </c>
      <c r="D29" s="115"/>
      <c r="E29" s="137"/>
      <c r="F29" s="116" t="s">
        <v>378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265</v>
      </c>
      <c r="B30" s="114" t="str">
        <f>VLOOKUP(A30,'Data pick slip'!B:F,5,FALSE)</f>
        <v>KHJ-MC400-00</v>
      </c>
      <c r="C30" s="115" t="s">
        <v>374</v>
      </c>
      <c r="D30" s="115"/>
      <c r="E30" s="137"/>
      <c r="F30" s="116" t="s">
        <v>378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329</v>
      </c>
      <c r="B31" s="114" t="str">
        <f>VLOOKUP(A31,'Data pick slip'!B:F,5,FALSE)</f>
        <v>KHJ-MC500-00</v>
      </c>
      <c r="C31" s="115" t="s">
        <v>374</v>
      </c>
      <c r="D31" s="115"/>
      <c r="E31" s="147"/>
      <c r="F31" s="116" t="s">
        <v>379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329</v>
      </c>
      <c r="B32" s="114" t="str">
        <f>VLOOKUP(A32,'Data pick slip'!B:F,5,FALSE)</f>
        <v>KHJ-MC500-00</v>
      </c>
      <c r="C32" s="115" t="s">
        <v>374</v>
      </c>
      <c r="D32" s="115"/>
      <c r="E32" s="147"/>
      <c r="F32" s="116" t="s">
        <v>379</v>
      </c>
      <c r="G32" s="117">
        <v>19</v>
      </c>
      <c r="Q32" s="143"/>
      <c r="T32" s="144"/>
      <c r="U32" s="145"/>
    </row>
    <row r="33" spans="1:21" ht="16.5" customHeight="1">
      <c r="A33" s="127" t="s">
        <v>331</v>
      </c>
      <c r="B33" s="114" t="str">
        <f>VLOOKUP(A33,'Data pick slip'!B:F,5,FALSE)</f>
        <v>KHJ-MC600-00</v>
      </c>
      <c r="C33" s="115" t="s">
        <v>374</v>
      </c>
      <c r="D33" s="115"/>
      <c r="E33" s="147"/>
      <c r="F33" s="116" t="s">
        <v>379</v>
      </c>
      <c r="G33" s="117">
        <v>1</v>
      </c>
      <c r="Q33" s="143"/>
      <c r="T33" s="144"/>
      <c r="U33" s="145"/>
    </row>
    <row r="34" spans="1:21" ht="15" customHeight="1">
      <c r="A34" s="127" t="s">
        <v>331</v>
      </c>
      <c r="B34" s="114" t="str">
        <f>VLOOKUP(A34,'Data pick slip'!B:F,5,FALSE)</f>
        <v>KHJ-MC600-00</v>
      </c>
      <c r="C34" s="115" t="s">
        <v>374</v>
      </c>
      <c r="D34" s="115"/>
      <c r="E34" s="147"/>
      <c r="F34" s="116" t="s">
        <v>379</v>
      </c>
      <c r="G34" s="117">
        <v>41</v>
      </c>
      <c r="Q34" s="143"/>
      <c r="T34" s="144"/>
      <c r="U34" s="145"/>
    </row>
    <row r="35" spans="1:21" ht="15" customHeight="1">
      <c r="A35" s="127" t="s">
        <v>272</v>
      </c>
      <c r="B35" s="114" t="str">
        <f>VLOOKUP(A35,'Data pick slip'!B:F,5,FALSE)</f>
        <v>KLJ-MC100-00</v>
      </c>
      <c r="C35" s="115" t="s">
        <v>374</v>
      </c>
      <c r="D35" s="115"/>
      <c r="E35" s="147"/>
      <c r="F35" s="116" t="s">
        <v>379</v>
      </c>
      <c r="G35" s="117">
        <v>380</v>
      </c>
      <c r="Q35" s="143"/>
      <c r="T35" s="144"/>
      <c r="U35" s="145"/>
    </row>
    <row r="36" spans="1:21" ht="15" customHeight="1">
      <c r="A36" s="113" t="s">
        <v>273</v>
      </c>
      <c r="B36" s="114" t="str">
        <f>VLOOKUP(A36,'Data pick slip'!B:F,5,FALSE)</f>
        <v>KLJ-MC200-00</v>
      </c>
      <c r="C36" s="115" t="s">
        <v>374</v>
      </c>
      <c r="D36" s="115"/>
      <c r="E36" s="147"/>
      <c r="F36" s="116" t="s">
        <v>379</v>
      </c>
      <c r="G36" s="117">
        <v>50</v>
      </c>
      <c r="T36" s="144"/>
      <c r="U36" s="145"/>
    </row>
    <row r="37" spans="1:21" ht="15" customHeight="1">
      <c r="A37" s="113" t="s">
        <v>274</v>
      </c>
      <c r="B37" s="114" t="str">
        <f>VLOOKUP(A37,'Data pick slip'!B:F,5,FALSE)</f>
        <v>KLJ-MC400-00</v>
      </c>
      <c r="C37" s="115" t="s">
        <v>374</v>
      </c>
      <c r="D37" s="115"/>
      <c r="E37" s="147"/>
      <c r="F37" s="116" t="s">
        <v>379</v>
      </c>
      <c r="G37" s="117">
        <v>25</v>
      </c>
      <c r="Q37" s="143"/>
      <c r="T37" s="144"/>
      <c r="U37" s="145"/>
    </row>
    <row r="38" spans="1:21" ht="15" customHeight="1">
      <c r="A38" s="127" t="s">
        <v>265</v>
      </c>
      <c r="B38" s="114" t="str">
        <f>VLOOKUP(A38,'Data pick slip'!B:F,5,FALSE)</f>
        <v>KHJ-MC400-00</v>
      </c>
      <c r="C38" s="115">
        <v>109382</v>
      </c>
      <c r="D38" s="115" t="e">
        <f>VLOOKUP(C38,Stock_list!D:L,2,FALSE)</f>
        <v>#N/A</v>
      </c>
      <c r="E38" s="147" t="e">
        <f>VLOOKUP(C38,Stock_list!D:L,9,FALSE)</f>
        <v>#N/A</v>
      </c>
      <c r="F38" s="116" t="s">
        <v>378</v>
      </c>
      <c r="G38" s="117">
        <v>5</v>
      </c>
      <c r="Q38" s="143"/>
      <c r="T38" s="144"/>
      <c r="U38" s="145"/>
    </row>
    <row r="39" spans="1:21" ht="21" customHeight="1">
      <c r="A39" s="127" t="s">
        <v>264</v>
      </c>
      <c r="B39" s="114" t="str">
        <f>VLOOKUP(A39,'Data pick slip'!B:F,5,FALSE)</f>
        <v>KHJ-MC200-00</v>
      </c>
      <c r="C39" s="115">
        <v>109382</v>
      </c>
      <c r="D39" s="115" t="e">
        <f>VLOOKUP(C39,Stock_list!D:L,2,FALSE)</f>
        <v>#N/A</v>
      </c>
      <c r="E39" s="147" t="e">
        <f>VLOOKUP(C39,Stock_list!D:L,9,FALSE)</f>
        <v>#N/A</v>
      </c>
      <c r="F39" s="116" t="s">
        <v>378</v>
      </c>
      <c r="G39" s="117">
        <v>10</v>
      </c>
      <c r="Q39" s="143"/>
      <c r="T39" s="144"/>
      <c r="U39" s="145"/>
    </row>
    <row r="40" spans="1:21" ht="15" customHeight="1">
      <c r="A40" s="127" t="s">
        <v>265</v>
      </c>
      <c r="B40" s="114" t="str">
        <f>VLOOKUP(A40,'Data pick slip'!B:F,5,FALSE)</f>
        <v>KHJ-MC400-00</v>
      </c>
      <c r="C40" s="115">
        <v>109413</v>
      </c>
      <c r="D40" s="115" t="e">
        <f>VLOOKUP(C40,Stock_list!D:L,2,FALSE)</f>
        <v>#N/A</v>
      </c>
      <c r="E40" s="147" t="e">
        <f>VLOOKUP(C40,Stock_list!D:L,9,FALSE)</f>
        <v>#N/A</v>
      </c>
      <c r="F40" s="116" t="s">
        <v>378</v>
      </c>
      <c r="G40" s="117">
        <v>10</v>
      </c>
      <c r="Q40" s="143"/>
      <c r="T40" s="144"/>
      <c r="U40" s="145"/>
    </row>
    <row r="41" spans="1:21" ht="21" customHeight="1">
      <c r="A41" s="127" t="s">
        <v>264</v>
      </c>
      <c r="B41" s="114" t="str">
        <f>VLOOKUP(A41,'Data pick slip'!B:F,5,FALSE)</f>
        <v>KHJ-MC200-00</v>
      </c>
      <c r="C41" s="115">
        <v>109264</v>
      </c>
      <c r="D41" s="115" t="e">
        <f>VLOOKUP(C41,Stock_list!D:L,2,FALSE)</f>
        <v>#N/A</v>
      </c>
      <c r="E41" s="147" t="e">
        <f>VLOOKUP(C41,Stock_list!D:L,9,FALSE)</f>
        <v>#N/A</v>
      </c>
      <c r="F41" s="116" t="s">
        <v>378</v>
      </c>
      <c r="G41" s="117">
        <v>10</v>
      </c>
      <c r="Q41" s="143"/>
      <c r="T41" s="144"/>
      <c r="U41" s="145"/>
    </row>
    <row r="42" spans="1:21" ht="22.5" customHeight="1">
      <c r="A42" s="113" t="s">
        <v>285</v>
      </c>
      <c r="B42" s="114" t="str">
        <f>VLOOKUP(A42,'Data pick slip'!B:F,5,FALSE)</f>
        <v>KHJ-MC100-00</v>
      </c>
      <c r="C42" s="115">
        <v>109331</v>
      </c>
      <c r="D42" s="115" t="e">
        <f>VLOOKUP(C42,Stock_list!D:L,2,FALSE)</f>
        <v>#N/A</v>
      </c>
      <c r="E42" s="147" t="e">
        <f>VLOOKUP(C42,Stock_list!D:L,9,FALSE)</f>
        <v>#N/A</v>
      </c>
      <c r="F42" s="116" t="s">
        <v>378</v>
      </c>
      <c r="G42" s="117">
        <v>70</v>
      </c>
      <c r="Q42" s="143"/>
      <c r="T42" s="144"/>
      <c r="U42" s="145"/>
    </row>
    <row r="43" spans="1:21" ht="15" customHeight="1">
      <c r="A43" s="127" t="s">
        <v>264</v>
      </c>
      <c r="B43" s="114" t="str">
        <f>VLOOKUP(A43,'Data pick slip'!B:F,5,FALSE)</f>
        <v>KHJ-MC200-00</v>
      </c>
      <c r="C43" s="115">
        <v>109331</v>
      </c>
      <c r="D43" s="115" t="e">
        <f>VLOOKUP(C43,Stock_list!D:L,2,FALSE)</f>
        <v>#N/A</v>
      </c>
      <c r="E43" s="147" t="e">
        <f>VLOOKUP(C43,Stock_list!D:L,9,FALSE)</f>
        <v>#N/A</v>
      </c>
      <c r="F43" s="116" t="s">
        <v>378</v>
      </c>
      <c r="G43" s="117">
        <v>10</v>
      </c>
      <c r="Q43" s="143"/>
      <c r="T43" s="144"/>
      <c r="U43" s="145"/>
    </row>
    <row r="44" spans="1:21" ht="15" customHeight="1">
      <c r="A44" s="127" t="s">
        <v>265</v>
      </c>
      <c r="B44" s="114" t="str">
        <f>VLOOKUP(A44,'Data pick slip'!B:F,5,FALSE)</f>
        <v>KHJ-MC400-00</v>
      </c>
      <c r="C44" s="115">
        <v>109331</v>
      </c>
      <c r="D44" s="115" t="e">
        <f>VLOOKUP(C44,Stock_list!D:L,2,FALSE)</f>
        <v>#N/A</v>
      </c>
      <c r="E44" s="147" t="e">
        <f>VLOOKUP(C44,Stock_list!D:L,9,FALSE)</f>
        <v>#N/A</v>
      </c>
      <c r="F44" s="116" t="s">
        <v>378</v>
      </c>
      <c r="G44" s="117">
        <v>5</v>
      </c>
      <c r="Q44" s="143"/>
      <c r="T44" s="144"/>
      <c r="U44" s="145"/>
    </row>
    <row r="45" spans="1:21" ht="22.5" customHeight="1">
      <c r="A45" s="127" t="s">
        <v>329</v>
      </c>
      <c r="B45" s="114" t="str">
        <f>VLOOKUP(A45,'Data pick slip'!B:F,5,FALSE)</f>
        <v>KHJ-MC500-00</v>
      </c>
      <c r="C45" s="115">
        <v>109331</v>
      </c>
      <c r="D45" s="115" t="e">
        <f>VLOOKUP(C45,Stock_list!D:L,2,FALSE)</f>
        <v>#N/A</v>
      </c>
      <c r="E45" s="147" t="e">
        <f>VLOOKUP(C45,Stock_list!D:L,9,FALSE)</f>
        <v>#N/A</v>
      </c>
      <c r="F45" s="116" t="s">
        <v>378</v>
      </c>
      <c r="G45" s="117">
        <v>2</v>
      </c>
      <c r="Q45" s="143"/>
      <c r="T45" s="144"/>
      <c r="U45" s="145"/>
    </row>
    <row r="46" spans="1:21" ht="15" customHeight="1">
      <c r="A46" s="127" t="s">
        <v>331</v>
      </c>
      <c r="B46" s="114" t="str">
        <f>VLOOKUP(A46,'Data pick slip'!B:F,5,FALSE)</f>
        <v>KHJ-MC600-00</v>
      </c>
      <c r="C46" s="115">
        <v>109331</v>
      </c>
      <c r="D46" s="115" t="e">
        <f>VLOOKUP(C46,Stock_list!D:L,2,FALSE)</f>
        <v>#N/A</v>
      </c>
      <c r="E46" s="147" t="e">
        <f>VLOOKUP(C46,Stock_list!D:L,9,FALSE)</f>
        <v>#N/A</v>
      </c>
      <c r="F46" s="116" t="s">
        <v>378</v>
      </c>
      <c r="G46" s="117">
        <v>1</v>
      </c>
      <c r="Q46" s="143"/>
      <c r="T46" s="144"/>
      <c r="U46" s="145"/>
    </row>
    <row r="47" spans="1:21" ht="21" customHeight="1">
      <c r="A47" s="113" t="s">
        <v>285</v>
      </c>
      <c r="B47" s="114" t="str">
        <f>VLOOKUP(A47,'Data pick slip'!B:F,5,FALSE)</f>
        <v>KHJ-MC100-00</v>
      </c>
      <c r="C47" s="115">
        <v>109288</v>
      </c>
      <c r="D47" s="115" t="e">
        <f>VLOOKUP(C47,Stock_list!D:L,2,FALSE)</f>
        <v>#N/A</v>
      </c>
      <c r="E47" s="147" t="e">
        <f>VLOOKUP(C47,Stock_list!D:L,9,FALSE)</f>
        <v>#N/A</v>
      </c>
      <c r="F47" s="116" t="s">
        <v>379</v>
      </c>
      <c r="G47" s="117">
        <v>150</v>
      </c>
      <c r="Q47" s="143"/>
      <c r="T47" s="144"/>
      <c r="U47" s="145"/>
    </row>
    <row r="48" spans="1:21" ht="15" customHeight="1">
      <c r="A48" s="127" t="s">
        <v>264</v>
      </c>
      <c r="B48" s="114" t="str">
        <f>VLOOKUP(A48,'Data pick slip'!B:F,5,FALSE)</f>
        <v>KHJ-MC200-00</v>
      </c>
      <c r="C48" s="115">
        <v>109288</v>
      </c>
      <c r="D48" s="115" t="e">
        <f>VLOOKUP(C48,Stock_list!D:L,2,FALSE)</f>
        <v>#N/A</v>
      </c>
      <c r="E48" s="147" t="e">
        <f>VLOOKUP(C48,Stock_list!D:L,9,FALSE)</f>
        <v>#N/A</v>
      </c>
      <c r="F48" s="116" t="s">
        <v>379</v>
      </c>
      <c r="G48" s="117">
        <v>5</v>
      </c>
      <c r="Q48" s="143"/>
      <c r="T48" s="144"/>
      <c r="U48" s="145"/>
    </row>
    <row r="49" spans="1:21" ht="15" customHeight="1">
      <c r="A49" s="127" t="s">
        <v>329</v>
      </c>
      <c r="B49" s="114" t="str">
        <f>VLOOKUP(A49,'Data pick slip'!B:F,5,FALSE)</f>
        <v>KHJ-MC500-00</v>
      </c>
      <c r="C49" s="115">
        <v>109288</v>
      </c>
      <c r="D49" s="115" t="e">
        <f>VLOOKUP(C49,Stock_list!D:L,2,FALSE)</f>
        <v>#N/A</v>
      </c>
      <c r="E49" s="147" t="e">
        <f>VLOOKUP(C49,Stock_list!D:L,9,FALSE)</f>
        <v>#N/A</v>
      </c>
      <c r="F49" s="116" t="s">
        <v>379</v>
      </c>
      <c r="G49" s="117">
        <v>2</v>
      </c>
      <c r="Q49" s="143"/>
      <c r="T49" s="144"/>
      <c r="U49" s="145"/>
    </row>
    <row r="50" spans="1:21" ht="15" customHeight="1">
      <c r="A50" s="113" t="s">
        <v>285</v>
      </c>
      <c r="B50" s="114" t="str">
        <f>VLOOKUP(A50,'Data pick slip'!B:F,5,FALSE)</f>
        <v>KHJ-MC100-00</v>
      </c>
      <c r="C50" s="115">
        <v>109308</v>
      </c>
      <c r="D50" s="115" t="e">
        <f>VLOOKUP(C50,Stock_list!D:L,2,FALSE)</f>
        <v>#N/A</v>
      </c>
      <c r="E50" s="147" t="e">
        <f>VLOOKUP(C50,Stock_list!D:L,9,FALSE)</f>
        <v>#N/A</v>
      </c>
      <c r="F50" s="116" t="s">
        <v>379</v>
      </c>
      <c r="G50" s="117">
        <v>120</v>
      </c>
      <c r="Q50" s="143"/>
      <c r="T50" s="144"/>
      <c r="U50" s="145"/>
    </row>
    <row r="51" spans="1:21" ht="15" customHeight="1">
      <c r="A51" s="127" t="s">
        <v>264</v>
      </c>
      <c r="B51" s="114" t="str">
        <f>VLOOKUP(A51,'Data pick slip'!B:F,5,FALSE)</f>
        <v>KHJ-MC200-00</v>
      </c>
      <c r="C51" s="115">
        <v>109308</v>
      </c>
      <c r="D51" s="115" t="e">
        <f>VLOOKUP(C51,Stock_list!D:L,2,FALSE)</f>
        <v>#N/A</v>
      </c>
      <c r="E51" s="147" t="e">
        <f>VLOOKUP(C51,Stock_list!D:L,9,FALSE)</f>
        <v>#N/A</v>
      </c>
      <c r="F51" s="116" t="s">
        <v>379</v>
      </c>
      <c r="G51" s="117">
        <v>60</v>
      </c>
      <c r="Q51" s="143"/>
      <c r="T51" s="144"/>
      <c r="U51" s="145"/>
    </row>
    <row r="52" spans="1:21" ht="15" customHeight="1">
      <c r="A52" s="127" t="s">
        <v>294</v>
      </c>
      <c r="B52" s="114" t="str">
        <f>VLOOKUP(A52,'Data pick slip'!B:F,5,FALSE)</f>
        <v>KHJ-MC400-00</v>
      </c>
      <c r="C52" s="115">
        <v>109308</v>
      </c>
      <c r="D52" s="115" t="e">
        <f>VLOOKUP(C52,Stock_list!D:L,2,FALSE)</f>
        <v>#N/A</v>
      </c>
      <c r="E52" s="147" t="e">
        <f>VLOOKUP(C52,Stock_list!D:L,9,FALSE)</f>
        <v>#N/A</v>
      </c>
      <c r="F52" s="116" t="s">
        <v>379</v>
      </c>
      <c r="G52" s="117">
        <v>5</v>
      </c>
      <c r="Q52" s="143"/>
      <c r="T52" s="144"/>
      <c r="U52" s="145"/>
    </row>
    <row r="53" spans="1:21" ht="15" customHeight="1">
      <c r="A53" s="127" t="s">
        <v>329</v>
      </c>
      <c r="B53" s="114" t="str">
        <f>VLOOKUP(A53,'Data pick slip'!B:F,5,FALSE)</f>
        <v>KHJ-MC500-00</v>
      </c>
      <c r="C53" s="115">
        <v>109308</v>
      </c>
      <c r="D53" s="115" t="e">
        <f>VLOOKUP(C53,Stock_list!D:L,2,FALSE)</f>
        <v>#N/A</v>
      </c>
      <c r="E53" s="147" t="e">
        <f>VLOOKUP(C53,Stock_list!D:L,9,FALSE)</f>
        <v>#N/A</v>
      </c>
      <c r="F53" s="116" t="s">
        <v>379</v>
      </c>
      <c r="G53" s="117">
        <v>2</v>
      </c>
      <c r="Q53" s="143"/>
      <c r="T53" s="144"/>
      <c r="U53" s="145"/>
    </row>
    <row r="54" spans="1:21" ht="15" customHeight="1">
      <c r="A54" s="113" t="s">
        <v>285</v>
      </c>
      <c r="B54" s="114" t="str">
        <f>VLOOKUP(A54,'Data pick slip'!B:F,5,FALSE)</f>
        <v>KHJ-MC100-00</v>
      </c>
      <c r="C54" s="115">
        <v>109295</v>
      </c>
      <c r="D54" s="115" t="e">
        <f>VLOOKUP(C54,Stock_list!D:L,2,FALSE)</f>
        <v>#N/A</v>
      </c>
      <c r="E54" s="147" t="e">
        <f>VLOOKUP(C54,Stock_list!D:L,9,FALSE)</f>
        <v>#N/A</v>
      </c>
      <c r="F54" s="116" t="s">
        <v>379</v>
      </c>
      <c r="G54" s="117">
        <v>230</v>
      </c>
      <c r="Q54" s="143"/>
      <c r="T54" s="144"/>
      <c r="U54" s="145"/>
    </row>
    <row r="55" spans="1:21" ht="15" customHeight="1">
      <c r="A55" s="127" t="s">
        <v>264</v>
      </c>
      <c r="B55" s="114" t="str">
        <f>VLOOKUP(A55,'Data pick slip'!B:F,5,FALSE)</f>
        <v>KHJ-MC200-00</v>
      </c>
      <c r="C55" s="115">
        <v>109295</v>
      </c>
      <c r="D55" s="115" t="e">
        <f>VLOOKUP(C55,Stock_list!D:L,2,FALSE)</f>
        <v>#N/A</v>
      </c>
      <c r="E55" s="147" t="e">
        <f>VLOOKUP(C55,Stock_list!D:L,9,FALSE)</f>
        <v>#N/A</v>
      </c>
      <c r="F55" s="116" t="s">
        <v>379</v>
      </c>
      <c r="G55" s="117">
        <v>40</v>
      </c>
      <c r="Q55" s="143"/>
      <c r="T55" s="144"/>
      <c r="U55" s="145"/>
    </row>
    <row r="56" spans="1:21" ht="15" customHeight="1">
      <c r="A56" s="127" t="s">
        <v>294</v>
      </c>
      <c r="B56" s="114" t="str">
        <f>VLOOKUP(A56,'Data pick slip'!B:F,5,FALSE)</f>
        <v>KHJ-MC400-00</v>
      </c>
      <c r="C56" s="115">
        <v>109295</v>
      </c>
      <c r="D56" s="115" t="e">
        <f>VLOOKUP(C56,Stock_list!D:L,2,FALSE)</f>
        <v>#N/A</v>
      </c>
      <c r="E56" s="147" t="e">
        <f>VLOOKUP(C56,Stock_list!D:L,9,FALSE)</f>
        <v>#N/A</v>
      </c>
      <c r="F56" s="116" t="s">
        <v>379</v>
      </c>
      <c r="G56" s="117">
        <v>20</v>
      </c>
      <c r="Q56" s="143"/>
      <c r="T56" s="144"/>
      <c r="U56" s="145"/>
    </row>
    <row r="57" spans="1:21" ht="15" customHeight="1">
      <c r="A57" s="127" t="s">
        <v>329</v>
      </c>
      <c r="B57" s="114" t="str">
        <f>VLOOKUP(A57,'Data pick slip'!B:F,5,FALSE)</f>
        <v>KHJ-MC500-00</v>
      </c>
      <c r="C57" s="115">
        <v>109295</v>
      </c>
      <c r="D57" s="115" t="e">
        <f>VLOOKUP(C57,Stock_list!D:L,2,FALSE)</f>
        <v>#N/A</v>
      </c>
      <c r="E57" s="147" t="e">
        <f>VLOOKUP(C57,Stock_list!D:L,9,FALSE)</f>
        <v>#N/A</v>
      </c>
      <c r="F57" s="116" t="s">
        <v>379</v>
      </c>
      <c r="G57" s="117">
        <v>5</v>
      </c>
      <c r="Q57" s="143"/>
      <c r="T57" s="144"/>
      <c r="U57" s="145"/>
    </row>
    <row r="58" spans="1:21" ht="15" customHeight="1">
      <c r="A58" s="127" t="s">
        <v>264</v>
      </c>
      <c r="B58" s="114" t="str">
        <f>VLOOKUP(A58,'Data pick slip'!B:F,5,FALSE)</f>
        <v>KHJ-MC200-00</v>
      </c>
      <c r="C58" s="115" t="s">
        <v>380</v>
      </c>
      <c r="D58" s="115"/>
      <c r="E58" s="147"/>
      <c r="F58" s="116" t="s">
        <v>290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285</v>
      </c>
      <c r="B59" s="114" t="str">
        <f>VLOOKUP(A59,'Data pick slip'!B:F,5,FALSE)</f>
        <v>KHJ-MC100-00</v>
      </c>
      <c r="C59" s="115">
        <v>109421</v>
      </c>
      <c r="D59" s="115" t="e">
        <f>VLOOKUP(C59,Stock_list!D:L,2,FALSE)</f>
        <v>#N/A</v>
      </c>
      <c r="E59" s="147" t="e">
        <f>VLOOKUP(C59,Stock_list!D:L,9,FALSE)</f>
        <v>#N/A</v>
      </c>
      <c r="F59" s="116" t="s">
        <v>379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285</v>
      </c>
      <c r="B60" s="114" t="str">
        <f>VLOOKUP(A60,'Data pick slip'!B:F,5,FALSE)</f>
        <v>KHJ-MC100-00</v>
      </c>
      <c r="C60" s="115">
        <v>109454</v>
      </c>
      <c r="D60" s="115" t="e">
        <f>VLOOKUP(C60,Stock_list!D:L,2,FALSE)</f>
        <v>#N/A</v>
      </c>
      <c r="E60" s="147" t="e">
        <f>VLOOKUP(C60,Stock_list!D:L,9,FALSE)</f>
        <v>#N/A</v>
      </c>
      <c r="F60" s="116" t="s">
        <v>379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264</v>
      </c>
      <c r="B61" s="114" t="str">
        <f>VLOOKUP(A61,'Data pick slip'!B:F,5,FALSE)</f>
        <v>KHJ-MC200-00</v>
      </c>
      <c r="C61" s="115">
        <v>109454</v>
      </c>
      <c r="D61" s="115" t="e">
        <f>VLOOKUP(C61,Stock_list!D:L,2,FALSE)</f>
        <v>#N/A</v>
      </c>
      <c r="E61" s="147" t="e">
        <f>VLOOKUP(C61,Stock_list!D:L,9,FALSE)</f>
        <v>#N/A</v>
      </c>
      <c r="F61" s="116" t="s">
        <v>379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285</v>
      </c>
      <c r="B62" s="114" t="str">
        <f>VLOOKUP(A62,'Data pick slip'!B:F,5,FALSE)</f>
        <v>KHJ-MC100-00</v>
      </c>
      <c r="C62" s="115">
        <v>109423</v>
      </c>
      <c r="D62" s="115" t="e">
        <f>VLOOKUP(C62,Stock_list!D:L,2,FALSE)</f>
        <v>#N/A</v>
      </c>
      <c r="E62" s="147" t="e">
        <f>VLOOKUP(C62,Stock_list!D:L,9,FALSE)</f>
        <v>#N/A</v>
      </c>
      <c r="F62" s="116" t="s">
        <v>379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264</v>
      </c>
      <c r="B63" s="114" t="str">
        <f>VLOOKUP(A63,'Data pick slip'!B:F,5,FALSE)</f>
        <v>KHJ-MC200-00</v>
      </c>
      <c r="C63" s="115">
        <v>109423</v>
      </c>
      <c r="D63" s="115" t="e">
        <f>VLOOKUP(C63,Stock_list!D:L,2,FALSE)</f>
        <v>#N/A</v>
      </c>
      <c r="E63" s="147" t="e">
        <f>VLOOKUP(C63,Stock_list!D:L,9,FALSE)</f>
        <v>#N/A</v>
      </c>
      <c r="F63" s="116" t="s">
        <v>379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265</v>
      </c>
      <c r="B64" s="114" t="str">
        <f>VLOOKUP(A64,'Data pick slip'!B:F,5,FALSE)</f>
        <v>KHJ-MC400-00</v>
      </c>
      <c r="C64" s="115"/>
      <c r="D64" s="115"/>
      <c r="E64" s="147" t="s">
        <v>381</v>
      </c>
      <c r="F64" s="116" t="s">
        <v>290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274</v>
      </c>
      <c r="B65" s="114" t="str">
        <f>VLOOKUP(A65,'Data pick slip'!B:F,5,FALSE)</f>
        <v>KLJ-MC400-00</v>
      </c>
      <c r="C65" s="115"/>
      <c r="D65" s="115"/>
      <c r="E65" s="147" t="s">
        <v>381</v>
      </c>
      <c r="F65" s="116" t="s">
        <v>290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266</v>
      </c>
      <c r="B66" s="114" t="str">
        <f>VLOOKUP(A66,'Data pick slip'!B:F,5,FALSE)</f>
        <v>KHJ-MC500-00</v>
      </c>
      <c r="C66" s="115"/>
      <c r="D66" s="115"/>
      <c r="E66" s="147" t="s">
        <v>381</v>
      </c>
      <c r="F66" s="116" t="s">
        <v>290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261</v>
      </c>
      <c r="B67" s="114" t="str">
        <f>VLOOKUP(A67,'Data pick slip'!B:F,5,FALSE)</f>
        <v>KHJ-MC100-00</v>
      </c>
      <c r="C67" s="115"/>
      <c r="D67" s="115"/>
      <c r="E67" s="147" t="s">
        <v>381</v>
      </c>
      <c r="F67" s="116" t="s">
        <v>290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261</v>
      </c>
      <c r="B68" s="114" t="str">
        <f>VLOOKUP(A68,'Data pick slip'!B:F,5,FALSE)</f>
        <v>KHJ-MC100-00</v>
      </c>
      <c r="C68" s="115"/>
      <c r="D68" s="115"/>
      <c r="E68" s="147" t="s">
        <v>382</v>
      </c>
      <c r="F68" s="116" t="s">
        <v>290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264</v>
      </c>
      <c r="B69" s="114" t="str">
        <f>VLOOKUP(A69,'Data pick slip'!B:F,5,FALSE)</f>
        <v>KHJ-MC200-00</v>
      </c>
      <c r="C69" s="115"/>
      <c r="D69" s="115"/>
      <c r="E69" s="147" t="s">
        <v>382</v>
      </c>
      <c r="F69" s="116" t="s">
        <v>290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265</v>
      </c>
      <c r="B70" s="114" t="str">
        <f>VLOOKUP(A70,'Data pick slip'!B:F,5,FALSE)</f>
        <v>KHJ-MC400-00</v>
      </c>
      <c r="C70" s="115"/>
      <c r="D70" s="115"/>
      <c r="E70" s="147" t="s">
        <v>382</v>
      </c>
      <c r="F70" s="116" t="s">
        <v>290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273</v>
      </c>
      <c r="B71" s="114" t="str">
        <f>VLOOKUP(A71,'Data pick slip'!B:F,5,FALSE)</f>
        <v>KLJ-MC200-00</v>
      </c>
      <c r="C71" s="115"/>
      <c r="D71" s="115"/>
      <c r="E71" s="147" t="s">
        <v>382</v>
      </c>
      <c r="F71" s="116" t="s">
        <v>290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264</v>
      </c>
      <c r="B72" s="114" t="str">
        <f>VLOOKUP(A72,'Data pick slip'!B:F,5,FALSE)</f>
        <v>KHJ-MC200-00</v>
      </c>
      <c r="C72" s="115"/>
      <c r="D72" s="115"/>
      <c r="E72" s="147" t="s">
        <v>383</v>
      </c>
      <c r="F72" s="116" t="s">
        <v>290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265</v>
      </c>
      <c r="B73" s="114" t="str">
        <f>VLOOKUP(A73,'Data pick slip'!B:F,5,FALSE)</f>
        <v>KHJ-MC400-00</v>
      </c>
      <c r="C73" s="115"/>
      <c r="D73" s="115"/>
      <c r="E73" s="147" t="s">
        <v>383</v>
      </c>
      <c r="F73" s="116" t="s">
        <v>290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285</v>
      </c>
      <c r="B74" s="114" t="str">
        <f>VLOOKUP(A74,'Data pick slip'!B:F,5,FALSE)</f>
        <v>KHJ-MC100-00</v>
      </c>
      <c r="C74" s="115">
        <v>109478</v>
      </c>
      <c r="D74" s="115" t="e">
        <f>VLOOKUP(C74,Stock_list!D:L,2,FALSE)</f>
        <v>#N/A</v>
      </c>
      <c r="E74" s="147" t="e">
        <f>VLOOKUP(C74,Stock_list!D:L,9,FALSE)</f>
        <v>#N/A</v>
      </c>
      <c r="F74" s="116" t="s">
        <v>379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329</v>
      </c>
      <c r="B75" s="114" t="str">
        <f>VLOOKUP(A75,'Data pick slip'!B:F,5,FALSE)</f>
        <v>KHJ-MC500-00</v>
      </c>
      <c r="C75" s="115">
        <v>109478</v>
      </c>
      <c r="D75" s="115" t="e">
        <f>VLOOKUP(C75,Stock_list!D:L,2,FALSE)</f>
        <v>#N/A</v>
      </c>
      <c r="E75" s="147" t="e">
        <f>VLOOKUP(C75,Stock_list!D:L,9,FALSE)</f>
        <v>#N/A</v>
      </c>
      <c r="F75" s="116" t="s">
        <v>379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285</v>
      </c>
      <c r="B76" s="114" t="str">
        <f>VLOOKUP(A76,'Data pick slip'!B:F,5,FALSE)</f>
        <v>KHJ-MC100-00</v>
      </c>
      <c r="C76" s="115">
        <v>109383</v>
      </c>
      <c r="D76" s="115" t="e">
        <f>VLOOKUP(C76,Stock_list!D:L,2,FALSE)</f>
        <v>#N/A</v>
      </c>
      <c r="E76" s="147" t="e">
        <f>VLOOKUP(C76,Stock_list!D:L,9,FALSE)</f>
        <v>#N/A</v>
      </c>
      <c r="F76" s="116" t="s">
        <v>379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285</v>
      </c>
      <c r="B77" s="114" t="str">
        <f>VLOOKUP(A77,'Data pick slip'!B:F,5,FALSE)</f>
        <v>KHJ-MC100-00</v>
      </c>
      <c r="C77" s="115">
        <v>109490</v>
      </c>
      <c r="D77" s="115" t="e">
        <f>VLOOKUP(C77,Stock_list!D:L,2,FALSE)</f>
        <v>#N/A</v>
      </c>
      <c r="E77" s="147" t="e">
        <f>VLOOKUP(C77,Stock_list!D:L,9,FALSE)</f>
        <v>#N/A</v>
      </c>
      <c r="F77" s="116" t="s">
        <v>379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264</v>
      </c>
      <c r="B78" s="114" t="str">
        <f>VLOOKUP(A78,'Data pick slip'!B:F,5,FALSE)</f>
        <v>KHJ-MC200-00</v>
      </c>
      <c r="C78" s="115">
        <v>109490</v>
      </c>
      <c r="D78" s="115" t="e">
        <f>VLOOKUP(C78,Stock_list!D:L,2,FALSE)</f>
        <v>#N/A</v>
      </c>
      <c r="E78" s="147" t="e">
        <f>VLOOKUP(C78,Stock_list!D:L,9,FALSE)</f>
        <v>#N/A</v>
      </c>
      <c r="F78" s="116" t="s">
        <v>379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285</v>
      </c>
      <c r="B79" s="114" t="str">
        <f>VLOOKUP(A79,'Data pick slip'!B:F,5,FALSE)</f>
        <v>KHJ-MC100-00</v>
      </c>
      <c r="C79" s="115">
        <v>109220</v>
      </c>
      <c r="D79" s="115" t="e">
        <f>VLOOKUP(C79,Stock_list!D:L,2,FALSE)</f>
        <v>#N/A</v>
      </c>
      <c r="E79" s="147" t="e">
        <f>VLOOKUP(C79,Stock_list!D:L,9,FALSE)</f>
        <v>#N/A</v>
      </c>
      <c r="F79" s="116" t="s">
        <v>379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264</v>
      </c>
      <c r="B80" s="114" t="str">
        <f>VLOOKUP(A80,'Data pick slip'!B:F,5,FALSE)</f>
        <v>KHJ-MC200-00</v>
      </c>
      <c r="C80" s="115">
        <v>109220</v>
      </c>
      <c r="D80" s="115" t="e">
        <f>VLOOKUP(C80,Stock_list!D:L,2,FALSE)</f>
        <v>#N/A</v>
      </c>
      <c r="E80" s="147" t="e">
        <f>VLOOKUP(C80,Stock_list!D:L,9,FALSE)</f>
        <v>#N/A</v>
      </c>
      <c r="F80" s="116" t="s">
        <v>379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285</v>
      </c>
      <c r="B81" s="114" t="str">
        <f>VLOOKUP(A81,'Data pick slip'!B:F,5,FALSE)</f>
        <v>KHJ-MC100-00</v>
      </c>
      <c r="C81" s="115">
        <v>109247</v>
      </c>
      <c r="D81" s="115" t="e">
        <f>VLOOKUP(C81,Stock_list!D:L,2,FALSE)</f>
        <v>#N/A</v>
      </c>
      <c r="E81" s="147" t="e">
        <f>VLOOKUP(C81,Stock_list!D:L,9,FALSE)</f>
        <v>#N/A</v>
      </c>
      <c r="F81" s="116" t="s">
        <v>379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264</v>
      </c>
      <c r="B82" s="114" t="str">
        <f>VLOOKUP(A82,'Data pick slip'!B:F,5,FALSE)</f>
        <v>KHJ-MC200-00</v>
      </c>
      <c r="C82" s="115">
        <v>109247</v>
      </c>
      <c r="D82" s="115" t="e">
        <f>VLOOKUP(C82,Stock_list!D:L,2,FALSE)</f>
        <v>#N/A</v>
      </c>
      <c r="E82" s="147" t="e">
        <f>VLOOKUP(C82,Stock_list!D:L,9,FALSE)</f>
        <v>#N/A</v>
      </c>
      <c r="F82" s="116" t="s">
        <v>379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329</v>
      </c>
      <c r="B83" s="114" t="str">
        <f>VLOOKUP(A83,'Data pick slip'!B:F,5,FALSE)</f>
        <v>KHJ-MC500-00</v>
      </c>
      <c r="C83" s="115">
        <v>109247</v>
      </c>
      <c r="D83" s="115" t="e">
        <f>VLOOKUP(C83,Stock_list!D:L,2,FALSE)</f>
        <v>#N/A</v>
      </c>
      <c r="E83" s="147" t="e">
        <f>VLOOKUP(C83,Stock_list!D:L,9,FALSE)</f>
        <v>#N/A</v>
      </c>
      <c r="F83" s="116" t="s">
        <v>379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285</v>
      </c>
      <c r="B84" s="114" t="str">
        <f>VLOOKUP(A84,'Data pick slip'!B:F,5,FALSE)</f>
        <v>KHJ-MC100-00</v>
      </c>
      <c r="C84" s="115">
        <v>109431</v>
      </c>
      <c r="D84" s="115" t="e">
        <f>VLOOKUP(C84,Stock_list!D:L,2,FALSE)</f>
        <v>#N/A</v>
      </c>
      <c r="E84" s="147" t="e">
        <f>VLOOKUP(C84,Stock_list!D:L,9,FALSE)</f>
        <v>#N/A</v>
      </c>
      <c r="F84" s="116" t="s">
        <v>379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285</v>
      </c>
      <c r="B85" s="114" t="str">
        <f>VLOOKUP(A85,'Data pick slip'!B:F,5,FALSE)</f>
        <v>KHJ-MC100-00</v>
      </c>
      <c r="C85" s="115">
        <v>109430</v>
      </c>
      <c r="D85" s="115" t="e">
        <f>VLOOKUP(C85,Stock_list!D:L,2,FALSE)</f>
        <v>#N/A</v>
      </c>
      <c r="E85" s="147" t="e">
        <f>VLOOKUP(C85,Stock_list!D:L,9,FALSE)</f>
        <v>#N/A</v>
      </c>
      <c r="F85" s="116" t="s">
        <v>379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294</v>
      </c>
      <c r="B86" s="114" t="str">
        <f>VLOOKUP(A86,'Data pick slip'!B:F,5,FALSE)</f>
        <v>KHJ-MC400-00</v>
      </c>
      <c r="C86" s="115">
        <v>109430</v>
      </c>
      <c r="D86" s="115" t="e">
        <f>VLOOKUP(C86,Stock_list!D:L,2,FALSE)</f>
        <v>#N/A</v>
      </c>
      <c r="E86" s="147" t="e">
        <f>VLOOKUP(C86,Stock_list!D:L,9,FALSE)</f>
        <v>#N/A</v>
      </c>
      <c r="F86" s="116" t="s">
        <v>379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272</v>
      </c>
      <c r="B87" s="114" t="str">
        <f>VLOOKUP(A87,'Data pick slip'!B:F,5,FALSE)</f>
        <v>KLJ-MC100-00</v>
      </c>
      <c r="C87" s="115">
        <v>109389</v>
      </c>
      <c r="D87" s="115" t="e">
        <f>VLOOKUP(C87,Stock_list!D:L,2,FALSE)</f>
        <v>#N/A</v>
      </c>
      <c r="E87" s="147" t="e">
        <f>VLOOKUP(C87,Stock_list!D:L,9,FALSE)</f>
        <v>#N/A</v>
      </c>
      <c r="F87" s="116" t="s">
        <v>379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273</v>
      </c>
      <c r="B88" s="114" t="str">
        <f>VLOOKUP(A88,'Data pick slip'!B:F,5,FALSE)</f>
        <v>KLJ-MC200-00</v>
      </c>
      <c r="C88" s="115">
        <v>109389</v>
      </c>
      <c r="D88" s="115" t="e">
        <f>VLOOKUP(C88,Stock_list!D:L,2,FALSE)</f>
        <v>#N/A</v>
      </c>
      <c r="E88" s="147" t="e">
        <f>VLOOKUP(C88,Stock_list!D:L,9,FALSE)</f>
        <v>#N/A</v>
      </c>
      <c r="F88" s="116" t="s">
        <v>379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285</v>
      </c>
      <c r="B89" s="114" t="str">
        <f>VLOOKUP(A89,'Data pick slip'!B:F,5,FALSE)</f>
        <v>KHJ-MC100-00</v>
      </c>
      <c r="C89" s="115">
        <v>109319</v>
      </c>
      <c r="D89" s="115" t="e">
        <f>VLOOKUP(C89,Stock_list!D:L,2,FALSE)</f>
        <v>#N/A</v>
      </c>
      <c r="E89" s="147" t="e">
        <f>VLOOKUP(C89,Stock_list!D:L,9,FALSE)</f>
        <v>#N/A</v>
      </c>
      <c r="F89" s="116" t="s">
        <v>379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264</v>
      </c>
      <c r="B90" s="114" t="str">
        <f>VLOOKUP(A90,'Data pick slip'!B:F,5,FALSE)</f>
        <v>KHJ-MC200-00</v>
      </c>
      <c r="C90" s="115">
        <v>109319</v>
      </c>
      <c r="D90" s="115" t="e">
        <f>VLOOKUP(C90,Stock_list!D:L,2,FALSE)</f>
        <v>#N/A</v>
      </c>
      <c r="E90" s="147" t="e">
        <f>VLOOKUP(C90,Stock_list!D:L,9,FALSE)</f>
        <v>#N/A</v>
      </c>
      <c r="F90" s="116" t="s">
        <v>379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294</v>
      </c>
      <c r="B91" s="114" t="str">
        <f>VLOOKUP(A91,'Data pick slip'!B:F,5,FALSE)</f>
        <v>KHJ-MC400-00</v>
      </c>
      <c r="C91" s="115">
        <v>109319</v>
      </c>
      <c r="D91" s="115" t="e">
        <f>VLOOKUP(C91,Stock_list!D:L,2,FALSE)</f>
        <v>#N/A</v>
      </c>
      <c r="E91" s="147" t="e">
        <f>VLOOKUP(C91,Stock_list!D:L,9,FALSE)</f>
        <v>#N/A</v>
      </c>
      <c r="F91" s="116" t="s">
        <v>379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285</v>
      </c>
      <c r="B92" s="114" t="str">
        <f>VLOOKUP(A92,'Data pick slip'!B:F,5,FALSE)</f>
        <v>KHJ-MC100-00</v>
      </c>
      <c r="C92" s="115">
        <v>109493</v>
      </c>
      <c r="D92" s="115" t="e">
        <f>VLOOKUP(C92,Stock_list!D:L,2,FALSE)</f>
        <v>#N/A</v>
      </c>
      <c r="E92" s="147" t="e">
        <f>VLOOKUP(C92,Stock_list!D:L,9,FALSE)</f>
        <v>#N/A</v>
      </c>
      <c r="F92" s="116" t="s">
        <v>379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264</v>
      </c>
      <c r="B93" s="114" t="str">
        <f>VLOOKUP(A93,'Data pick slip'!B:F,5,FALSE)</f>
        <v>KHJ-MC200-00</v>
      </c>
      <c r="C93" s="115">
        <v>109493</v>
      </c>
      <c r="D93" s="115" t="e">
        <f>VLOOKUP(C93,Stock_list!D:L,2,FALSE)</f>
        <v>#N/A</v>
      </c>
      <c r="E93" s="147" t="e">
        <f>VLOOKUP(C93,Stock_list!D:L,9,FALSE)</f>
        <v>#N/A</v>
      </c>
      <c r="F93" s="116" t="s">
        <v>379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294</v>
      </c>
      <c r="B94" s="114" t="str">
        <f>VLOOKUP(A94,'Data pick slip'!B:F,5,FALSE)</f>
        <v>KHJ-MC400-00</v>
      </c>
      <c r="C94" s="115">
        <v>109493</v>
      </c>
      <c r="D94" s="115" t="e">
        <f>VLOOKUP(C94,Stock_list!D:L,2,FALSE)</f>
        <v>#N/A</v>
      </c>
      <c r="E94" s="147" t="e">
        <f>VLOOKUP(C94,Stock_list!D:L,9,FALSE)</f>
        <v>#N/A</v>
      </c>
      <c r="F94" s="116" t="s">
        <v>379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329</v>
      </c>
      <c r="B95" s="114" t="str">
        <f>VLOOKUP(A95,'Data pick slip'!B:F,5,FALSE)</f>
        <v>KHJ-MC500-00</v>
      </c>
      <c r="C95" s="115">
        <v>109493</v>
      </c>
      <c r="D95" s="115" t="e">
        <f>VLOOKUP(C95,Stock_list!D:L,2,FALSE)</f>
        <v>#N/A</v>
      </c>
      <c r="E95" s="147" t="e">
        <f>VLOOKUP(C95,Stock_list!D:L,9,FALSE)</f>
        <v>#N/A</v>
      </c>
      <c r="F95" s="116" t="s">
        <v>379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268</v>
      </c>
      <c r="B96" s="114" t="str">
        <f>VLOOKUP(A96,'Data pick slip'!B:F,5,FALSE)</f>
        <v>KHJ-MC700-00</v>
      </c>
      <c r="C96" s="115">
        <v>109493</v>
      </c>
      <c r="D96" s="115" t="e">
        <f>VLOOKUP(C96,Stock_list!D:L,2,FALSE)</f>
        <v>#N/A</v>
      </c>
      <c r="E96" s="147" t="e">
        <f>VLOOKUP(C96,Stock_list!D:L,9,FALSE)</f>
        <v>#N/A</v>
      </c>
      <c r="F96" s="116" t="s">
        <v>379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285</v>
      </c>
      <c r="B97" s="114" t="str">
        <f>VLOOKUP(A97,'Data pick slip'!B:F,5,FALSE)</f>
        <v>KHJ-MC100-00</v>
      </c>
      <c r="D97" s="156"/>
      <c r="E97" s="160" t="s">
        <v>384</v>
      </c>
      <c r="F97" s="157" t="s">
        <v>290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264</v>
      </c>
      <c r="B98" s="114" t="str">
        <f>VLOOKUP(A98,'Data pick slip'!B:F,5,FALSE)</f>
        <v>KHJ-MC200-00</v>
      </c>
      <c r="D98" s="156"/>
      <c r="E98" s="160" t="s">
        <v>384</v>
      </c>
      <c r="F98" s="157" t="s">
        <v>290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266</v>
      </c>
      <c r="B99" s="114" t="str">
        <f>VLOOKUP(A99,'Data pick slip'!B:F,5,FALSE)</f>
        <v>KHJ-MC500-00</v>
      </c>
      <c r="D99" s="156"/>
      <c r="E99" s="160" t="s">
        <v>384</v>
      </c>
      <c r="F99" s="157" t="s">
        <v>290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268</v>
      </c>
      <c r="B100" s="114" t="str">
        <f>VLOOKUP(A100,'Data pick slip'!B:F,5,FALSE)</f>
        <v>KHJ-MC700-00</v>
      </c>
      <c r="D100" s="156"/>
      <c r="E100" s="160" t="s">
        <v>384</v>
      </c>
      <c r="F100" s="157" t="s">
        <v>290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261</v>
      </c>
      <c r="B101" s="114" t="str">
        <f>VLOOKUP(A101,'Data pick slip'!B:F,5,FALSE)</f>
        <v>KHJ-MC100-00</v>
      </c>
      <c r="D101" s="156"/>
      <c r="E101" s="160" t="s">
        <v>385</v>
      </c>
      <c r="F101" s="157" t="s">
        <v>290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264</v>
      </c>
      <c r="B102" s="114" t="str">
        <f>VLOOKUP(A102,'Data pick slip'!B:F,5,FALSE)</f>
        <v>KHJ-MC200-00</v>
      </c>
      <c r="D102" s="156"/>
      <c r="E102" s="160" t="s">
        <v>385</v>
      </c>
      <c r="F102" s="157" t="s">
        <v>290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265</v>
      </c>
      <c r="B103" s="114" t="str">
        <f>VLOOKUP(A103,'Data pick slip'!B:F,5,FALSE)</f>
        <v>KHJ-MC400-00</v>
      </c>
      <c r="D103" s="156"/>
      <c r="E103" s="160" t="s">
        <v>385</v>
      </c>
      <c r="F103" s="157" t="s">
        <v>290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285</v>
      </c>
      <c r="B104" s="114" t="str">
        <f>VLOOKUP(A104,'Data pick slip'!B:F,5,FALSE)</f>
        <v>KHJ-MC100-00</v>
      </c>
      <c r="C104" s="156">
        <v>109336</v>
      </c>
      <c r="D104" s="156" t="e">
        <f>VLOOKUP(C104,Stock_list!D:L,2,FALSE)</f>
        <v>#N/A</v>
      </c>
      <c r="E104" s="160" t="e">
        <f>VLOOKUP(C104,Stock_list!D:L,9,FALSE)</f>
        <v>#N/A</v>
      </c>
      <c r="F104" s="157" t="s">
        <v>379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264</v>
      </c>
      <c r="B105" s="114" t="str">
        <f>VLOOKUP(A105,'Data pick slip'!B:F,5,FALSE)</f>
        <v>KHJ-MC200-00</v>
      </c>
      <c r="C105" s="156">
        <v>109336</v>
      </c>
      <c r="D105" s="156" t="e">
        <f>VLOOKUP(C105,Stock_list!D:L,2,FALSE)</f>
        <v>#N/A</v>
      </c>
      <c r="E105" s="160" t="e">
        <f>VLOOKUP(C105,Stock_list!D:L,9,FALSE)</f>
        <v>#N/A</v>
      </c>
      <c r="F105" s="157" t="s">
        <v>379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294</v>
      </c>
      <c r="B106" s="114" t="str">
        <f>VLOOKUP(A106,'Data pick slip'!B:F,5,FALSE)</f>
        <v>KHJ-MC400-00</v>
      </c>
      <c r="C106" s="156">
        <v>109336</v>
      </c>
      <c r="D106" s="156" t="e">
        <f>VLOOKUP(C106,Stock_list!D:L,2,FALSE)</f>
        <v>#N/A</v>
      </c>
      <c r="E106" s="160" t="e">
        <f>VLOOKUP(C106,Stock_list!D:L,9,FALSE)</f>
        <v>#N/A</v>
      </c>
      <c r="F106" s="157" t="s">
        <v>379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285</v>
      </c>
      <c r="B107" s="114" t="str">
        <f>VLOOKUP(A107,'Data pick slip'!B:F,5,FALSE)</f>
        <v>KHJ-MC100-00</v>
      </c>
      <c r="C107" s="156">
        <v>109294</v>
      </c>
      <c r="D107" s="156" t="e">
        <f>VLOOKUP(C107,Stock_list!D:L,2,FALSE)</f>
        <v>#N/A</v>
      </c>
      <c r="E107" s="160" t="e">
        <f>VLOOKUP(C107,Stock_list!D:L,9,FALSE)</f>
        <v>#N/A</v>
      </c>
      <c r="F107" s="157" t="s">
        <v>379</v>
      </c>
      <c r="G107" s="158">
        <v>100</v>
      </c>
      <c r="Q107" s="143"/>
      <c r="T107" s="144"/>
      <c r="U107" s="145"/>
    </row>
    <row r="108" spans="1:21" ht="15" customHeight="1">
      <c r="A108" s="159" t="s">
        <v>326</v>
      </c>
      <c r="B108" s="114" t="str">
        <f>VLOOKUP(A108,'Data pick slip'!B:F,5,FALSE)</f>
        <v>KHJ-MC200-00</v>
      </c>
      <c r="C108" s="156">
        <v>109294</v>
      </c>
      <c r="D108" s="156" t="e">
        <f>VLOOKUP(C108,Stock_list!D:L,2,FALSE)</f>
        <v>#N/A</v>
      </c>
      <c r="E108" s="160" t="e">
        <f>VLOOKUP(C108,Stock_list!D:L,9,FALSE)</f>
        <v>#N/A</v>
      </c>
      <c r="F108" s="157" t="s">
        <v>379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285</v>
      </c>
      <c r="B109" s="114" t="str">
        <f>VLOOKUP(A109,'Data pick slip'!B:F,5,FALSE)</f>
        <v>KHJ-MC100-00</v>
      </c>
      <c r="C109" s="156">
        <v>109263</v>
      </c>
      <c r="D109" s="156" t="e">
        <f>VLOOKUP(C109,Stock_list!D:L,2,FALSE)</f>
        <v>#N/A</v>
      </c>
      <c r="E109" s="160" t="e">
        <f>VLOOKUP(C109,Stock_list!D:L,9,FALSE)</f>
        <v>#N/A</v>
      </c>
      <c r="F109" s="157" t="s">
        <v>379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264</v>
      </c>
      <c r="B110" s="114" t="str">
        <f>VLOOKUP(A110,'Data pick slip'!B:F,5,FALSE)</f>
        <v>KHJ-MC200-00</v>
      </c>
      <c r="C110" s="156">
        <v>109263</v>
      </c>
      <c r="D110" s="156" t="e">
        <f>VLOOKUP(C110,Stock_list!D:L,2,FALSE)</f>
        <v>#N/A</v>
      </c>
      <c r="E110" s="160" t="e">
        <f>VLOOKUP(C110,Stock_list!D:L,9,FALSE)</f>
        <v>#N/A</v>
      </c>
      <c r="F110" s="157" t="s">
        <v>379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329</v>
      </c>
      <c r="B111" s="114" t="str">
        <f>VLOOKUP(A111,'Data pick slip'!B:F,5,FALSE)</f>
        <v>KHJ-MC500-00</v>
      </c>
      <c r="C111" s="156">
        <v>109263</v>
      </c>
      <c r="D111" s="156" t="e">
        <f>VLOOKUP(C111,Stock_list!D:L,2,FALSE)</f>
        <v>#N/A</v>
      </c>
      <c r="E111" s="160" t="e">
        <f>VLOOKUP(C111,Stock_list!D:L,9,FALSE)</f>
        <v>#N/A</v>
      </c>
      <c r="F111" s="157" t="s">
        <v>379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273</v>
      </c>
      <c r="B112" s="114" t="str">
        <f>VLOOKUP(A112,'Data pick slip'!B:F,5,FALSE)</f>
        <v>KLJ-MC200-00</v>
      </c>
      <c r="C112" s="156">
        <v>109526</v>
      </c>
      <c r="D112" s="156" t="e">
        <f>VLOOKUP(C112,Stock_list!D:L,2,FALSE)</f>
        <v>#N/A</v>
      </c>
      <c r="E112" s="160" t="e">
        <f>VLOOKUP(C112,Stock_list!D:L,9,FALSE)</f>
        <v>#N/A</v>
      </c>
      <c r="F112" s="157" t="s">
        <v>379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274</v>
      </c>
      <c r="B113" s="114" t="str">
        <f>VLOOKUP(A113,'Data pick slip'!B:F,5,FALSE)</f>
        <v>KLJ-MC400-00</v>
      </c>
      <c r="C113" s="156">
        <v>109526</v>
      </c>
      <c r="D113" s="156" t="e">
        <f>VLOOKUP(C113,Stock_list!D:L,2,FALSE)</f>
        <v>#N/A</v>
      </c>
      <c r="E113" s="160" t="e">
        <f>VLOOKUP(C113,Stock_list!D:L,9,FALSE)</f>
        <v>#N/A</v>
      </c>
      <c r="F113" s="157" t="s">
        <v>379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</v>
      </c>
      <c r="B114" s="114" t="str">
        <f>VLOOKUP(A114,'Data pick slip'!B:F,5,FALSE)</f>
        <v>KLJ-MC500-00</v>
      </c>
      <c r="C114" s="156">
        <v>109526</v>
      </c>
      <c r="D114" s="156" t="e">
        <f>VLOOKUP(C114,Stock_list!D:L,2,FALSE)</f>
        <v>#N/A</v>
      </c>
      <c r="E114" s="160" t="e">
        <f>VLOOKUP(C114,Stock_list!D:L,9,FALSE)</f>
        <v>#N/A</v>
      </c>
      <c r="F114" s="157" t="s">
        <v>379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285</v>
      </c>
      <c r="B115" s="114" t="str">
        <f>VLOOKUP(A115,'Data pick slip'!B:F,5,FALSE)</f>
        <v>KHJ-MC100-00</v>
      </c>
      <c r="C115" s="156">
        <v>109344</v>
      </c>
      <c r="D115" s="156" t="e">
        <f>VLOOKUP(C115,Stock_list!D:L,2,FALSE)</f>
        <v>#N/A</v>
      </c>
      <c r="E115" s="160" t="e">
        <f>VLOOKUP(C115,Stock_list!D:L,9,FALSE)</f>
        <v>#N/A</v>
      </c>
      <c r="F115" s="157" t="s">
        <v>379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264</v>
      </c>
      <c r="B116" s="114" t="str">
        <f>VLOOKUP(A116,'Data pick slip'!B:F,5,FALSE)</f>
        <v>KHJ-MC200-00</v>
      </c>
      <c r="C116" s="156">
        <v>109344</v>
      </c>
      <c r="D116" s="156" t="e">
        <f>VLOOKUP(C116,Stock_list!D:L,2,FALSE)</f>
        <v>#N/A</v>
      </c>
      <c r="E116" s="160" t="e">
        <f>VLOOKUP(C116,Stock_list!D:L,9,FALSE)</f>
        <v>#N/A</v>
      </c>
      <c r="F116" s="157" t="s">
        <v>379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261</v>
      </c>
      <c r="B117" s="114" t="str">
        <f>VLOOKUP(A117,'Data pick slip'!B:F,5,FALSE)</f>
        <v>KHJ-MC100-00</v>
      </c>
      <c r="C117" s="156">
        <v>109497</v>
      </c>
      <c r="D117" s="156" t="e">
        <f>VLOOKUP(C117,Stock_list!D:L,2,FALSE)</f>
        <v>#N/A</v>
      </c>
      <c r="E117" s="160" t="e">
        <f>VLOOKUP(C117,Stock_list!D:L,9,FALSE)</f>
        <v>#N/A</v>
      </c>
      <c r="F117" s="157" t="s">
        <v>379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264</v>
      </c>
      <c r="B118" s="114" t="str">
        <f>VLOOKUP(A118,'Data pick slip'!B:F,5,FALSE)</f>
        <v>KHJ-MC200-00</v>
      </c>
      <c r="C118" s="156">
        <v>109497</v>
      </c>
      <c r="D118" s="156" t="e">
        <f>VLOOKUP(C118,Stock_list!D:L,2,FALSE)</f>
        <v>#N/A</v>
      </c>
      <c r="E118" s="160" t="e">
        <f>VLOOKUP(C118,Stock_list!D:L,9,FALSE)</f>
        <v>#N/A</v>
      </c>
      <c r="F118" s="157" t="s">
        <v>379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265</v>
      </c>
      <c r="B119" s="114" t="str">
        <f>VLOOKUP(A119,'Data pick slip'!B:F,5,FALSE)</f>
        <v>KHJ-MC400-00</v>
      </c>
      <c r="C119" s="156">
        <v>109497</v>
      </c>
      <c r="D119" s="156" t="e">
        <f>VLOOKUP(C119,Stock_list!D:L,2,FALSE)</f>
        <v>#N/A</v>
      </c>
      <c r="E119" s="160" t="e">
        <f>VLOOKUP(C119,Stock_list!D:L,9,FALSE)</f>
        <v>#N/A</v>
      </c>
      <c r="F119" s="157" t="s">
        <v>379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285</v>
      </c>
      <c r="B120" s="114" t="str">
        <f>VLOOKUP(A120,'Data pick slip'!B:F,5,FALSE)</f>
        <v>KHJ-MC100-00</v>
      </c>
      <c r="C120" s="156">
        <v>109390</v>
      </c>
      <c r="D120" s="156" t="e">
        <f>VLOOKUP(C120,Stock_list!D:L,2,FALSE)</f>
        <v>#N/A</v>
      </c>
      <c r="E120" s="160" t="e">
        <f>VLOOKUP(C120,Stock_list!D:L,9,FALSE)</f>
        <v>#N/A</v>
      </c>
      <c r="F120" s="157" t="s">
        <v>379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285</v>
      </c>
      <c r="B121" s="114" t="str">
        <f>VLOOKUP(A121,'Data pick slip'!B:F,5,FALSE)</f>
        <v>KHJ-MC100-00</v>
      </c>
      <c r="C121" s="156">
        <v>109553</v>
      </c>
      <c r="D121" s="156" t="e">
        <f>VLOOKUP(C121,Stock_list!D:L,2,FALSE)</f>
        <v>#N/A</v>
      </c>
      <c r="E121" s="160" t="e">
        <f>VLOOKUP(C121,Stock_list!D:L,9,FALSE)</f>
        <v>#N/A</v>
      </c>
      <c r="F121" s="157" t="s">
        <v>379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264</v>
      </c>
      <c r="B122" s="114" t="str">
        <f>VLOOKUP(A122,'Data pick slip'!B:F,5,FALSE)</f>
        <v>KHJ-MC200-00</v>
      </c>
      <c r="C122" s="156">
        <v>109553</v>
      </c>
      <c r="D122" s="156" t="e">
        <f>VLOOKUP(C122,Stock_list!D:L,2,FALSE)</f>
        <v>#N/A</v>
      </c>
      <c r="E122" s="160" t="e">
        <f>VLOOKUP(C122,Stock_list!D:L,9,FALSE)</f>
        <v>#N/A</v>
      </c>
      <c r="F122" s="157" t="s">
        <v>379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294</v>
      </c>
      <c r="B123" s="114" t="str">
        <f>VLOOKUP(A123,'Data pick slip'!B:F,5,FALSE)</f>
        <v>KHJ-MC400-00</v>
      </c>
      <c r="C123" s="156">
        <v>109553</v>
      </c>
      <c r="D123" s="156" t="e">
        <f>VLOOKUP(C123,Stock_list!D:L,2,FALSE)</f>
        <v>#N/A</v>
      </c>
      <c r="E123" s="160" t="e">
        <f>VLOOKUP(C123,Stock_list!D:L,9,FALSE)</f>
        <v>#N/A</v>
      </c>
      <c r="F123" s="157" t="s">
        <v>379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268</v>
      </c>
      <c r="B124" s="114" t="str">
        <f>VLOOKUP(A124,'Data pick slip'!B:F,5,FALSE)</f>
        <v>KHJ-MC700-00</v>
      </c>
      <c r="C124" s="156">
        <v>109553</v>
      </c>
      <c r="D124" s="156" t="e">
        <f>VLOOKUP(C124,Stock_list!D:L,2,FALSE)</f>
        <v>#N/A</v>
      </c>
      <c r="E124" s="160" t="e">
        <f>VLOOKUP(C124,Stock_list!D:L,9,FALSE)</f>
        <v>#N/A</v>
      </c>
      <c r="F124" s="157" t="s">
        <v>379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285</v>
      </c>
      <c r="B125" s="114" t="str">
        <f>VLOOKUP(A125,'Data pick slip'!B:F,5,FALSE)</f>
        <v>KHJ-MC100-00</v>
      </c>
      <c r="C125" s="156">
        <v>109554</v>
      </c>
      <c r="D125" s="156" t="e">
        <f>VLOOKUP(C125,Stock_list!D:L,2,FALSE)</f>
        <v>#N/A</v>
      </c>
      <c r="E125" s="160" t="e">
        <f>VLOOKUP(C125,Stock_list!D:L,9,FALSE)</f>
        <v>#N/A</v>
      </c>
      <c r="F125" s="157" t="s">
        <v>379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264</v>
      </c>
      <c r="B126" s="114" t="str">
        <f>VLOOKUP(A126,'Data pick slip'!B:F,5,FALSE)</f>
        <v>KHJ-MC200-00</v>
      </c>
      <c r="C126" s="156">
        <v>109554</v>
      </c>
      <c r="D126" s="156" t="e">
        <f>VLOOKUP(C126,Stock_list!D:L,2,FALSE)</f>
        <v>#N/A</v>
      </c>
      <c r="E126" s="160" t="e">
        <f>VLOOKUP(C126,Stock_list!D:L,9,FALSE)</f>
        <v>#N/A</v>
      </c>
      <c r="F126" s="157" t="s">
        <v>379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294</v>
      </c>
      <c r="B127" s="114" t="str">
        <f>VLOOKUP(A127,'Data pick slip'!B:F,5,FALSE)</f>
        <v>KHJ-MC400-00</v>
      </c>
      <c r="C127" s="156">
        <v>109554</v>
      </c>
      <c r="D127" s="156" t="e">
        <f>VLOOKUP(C127,Stock_list!D:L,2,FALSE)</f>
        <v>#N/A</v>
      </c>
      <c r="E127" s="160" t="e">
        <f>VLOOKUP(C127,Stock_list!D:L,9,FALSE)</f>
        <v>#N/A</v>
      </c>
      <c r="F127" s="157" t="s">
        <v>379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266</v>
      </c>
      <c r="B128" s="114" t="str">
        <f>VLOOKUP(A128,'Data pick slip'!B:F,5,FALSE)</f>
        <v>KHJ-MC500-00</v>
      </c>
      <c r="C128" s="156">
        <v>109554</v>
      </c>
      <c r="D128" s="156" t="e">
        <f>VLOOKUP(C128,Stock_list!D:L,2,FALSE)</f>
        <v>#N/A</v>
      </c>
      <c r="E128" s="160" t="e">
        <f>VLOOKUP(C128,Stock_list!D:L,9,FALSE)</f>
        <v>#N/A</v>
      </c>
      <c r="F128" s="157" t="s">
        <v>379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285</v>
      </c>
      <c r="B129" s="114" t="str">
        <f>VLOOKUP(A129,'Data pick slip'!B:F,5,FALSE)</f>
        <v>KHJ-MC100-00</v>
      </c>
      <c r="C129" s="156">
        <v>109563</v>
      </c>
      <c r="D129" s="156" t="e">
        <f>VLOOKUP(C129,Stock_list!D:L,2,FALSE)</f>
        <v>#N/A</v>
      </c>
      <c r="E129" s="160" t="e">
        <f>VLOOKUP(C129,Stock_list!D:L,9,FALSE)</f>
        <v>#N/A</v>
      </c>
      <c r="F129" s="157" t="s">
        <v>379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264</v>
      </c>
      <c r="B130" s="114" t="str">
        <f>VLOOKUP(A130,'Data pick slip'!B:F,5,FALSE)</f>
        <v>KHJ-MC200-00</v>
      </c>
      <c r="C130" s="156">
        <v>109563</v>
      </c>
      <c r="D130" s="156" t="e">
        <f>VLOOKUP(C130,Stock_list!D:L,2,FALSE)</f>
        <v>#N/A</v>
      </c>
      <c r="E130" s="160" t="e">
        <f>VLOOKUP(C130,Stock_list!D:L,9,FALSE)</f>
        <v>#N/A</v>
      </c>
      <c r="F130" s="157" t="s">
        <v>379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294</v>
      </c>
      <c r="B131" s="114" t="str">
        <f>VLOOKUP(A131,'Data pick slip'!B:F,5,FALSE)</f>
        <v>KHJ-MC400-00</v>
      </c>
      <c r="C131" s="156">
        <v>109563</v>
      </c>
      <c r="D131" s="156" t="e">
        <f>VLOOKUP(C131,Stock_list!D:L,2,FALSE)</f>
        <v>#N/A</v>
      </c>
      <c r="E131" s="160" t="e">
        <f>VLOOKUP(C131,Stock_list!D:L,9,FALSE)</f>
        <v>#N/A</v>
      </c>
      <c r="F131" s="157" t="s">
        <v>379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272</v>
      </c>
      <c r="B132" s="114" t="str">
        <f>VLOOKUP(A132,'Data pick slip'!B:F,5,FALSE)</f>
        <v>KLJ-MC100-00</v>
      </c>
      <c r="C132" s="156">
        <v>109564</v>
      </c>
      <c r="D132" s="156" t="e">
        <f>VLOOKUP(C132,Stock_list!D:L,2,FALSE)</f>
        <v>#N/A</v>
      </c>
      <c r="E132" s="160" t="e">
        <f>VLOOKUP(C132,Stock_list!D:L,9,FALSE)</f>
        <v>#N/A</v>
      </c>
      <c r="F132" s="157" t="s">
        <v>379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273</v>
      </c>
      <c r="B133" s="114" t="str">
        <f>VLOOKUP(A133,'Data pick slip'!B:F,5,FALSE)</f>
        <v>KLJ-MC200-00</v>
      </c>
      <c r="C133" s="156">
        <v>109564</v>
      </c>
      <c r="D133" s="156" t="e">
        <f>VLOOKUP(C133,Stock_list!D:L,2,FALSE)</f>
        <v>#N/A</v>
      </c>
      <c r="E133" s="160" t="e">
        <f>VLOOKUP(C133,Stock_list!D:L,9,FALSE)</f>
        <v>#N/A</v>
      </c>
      <c r="F133" s="157" t="s">
        <v>379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274</v>
      </c>
      <c r="B134" s="114" t="str">
        <f>VLOOKUP(A134,'Data pick slip'!B:F,5,FALSE)</f>
        <v>KLJ-MC400-00</v>
      </c>
      <c r="C134" s="156">
        <v>109564</v>
      </c>
      <c r="D134" s="156" t="e">
        <f>VLOOKUP(C134,Stock_list!D:L,2,FALSE)</f>
        <v>#N/A</v>
      </c>
      <c r="E134" s="160" t="e">
        <f>VLOOKUP(C134,Stock_list!D:L,9,FALSE)</f>
        <v>#N/A</v>
      </c>
      <c r="F134" s="157" t="s">
        <v>379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</v>
      </c>
      <c r="B135" s="114" t="str">
        <f>VLOOKUP(A135,'Data pick slip'!B:F,5,FALSE)</f>
        <v>KLJ-MC500-00</v>
      </c>
      <c r="C135" s="156">
        <v>109564</v>
      </c>
      <c r="D135" s="156" t="e">
        <f>VLOOKUP(C135,Stock_list!D:L,2,FALSE)</f>
        <v>#N/A</v>
      </c>
      <c r="E135" s="160" t="e">
        <f>VLOOKUP(C135,Stock_list!D:L,9,FALSE)</f>
        <v>#N/A</v>
      </c>
      <c r="F135" s="157" t="s">
        <v>379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272</v>
      </c>
      <c r="B136" s="114" t="str">
        <f>VLOOKUP(A136,'Data pick slip'!B:F,5,FALSE)</f>
        <v>KLJ-MC100-00</v>
      </c>
      <c r="C136" s="156">
        <v>109582</v>
      </c>
      <c r="D136" s="156" t="e">
        <f>VLOOKUP(C136,Stock_list!D:L,2,FALSE)</f>
        <v>#N/A</v>
      </c>
      <c r="E136" s="160" t="e">
        <f>VLOOKUP(C136,Stock_list!D:L,9,FALSE)</f>
        <v>#N/A</v>
      </c>
      <c r="F136" s="157" t="s">
        <v>379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273</v>
      </c>
      <c r="B137" s="114" t="str">
        <f>VLOOKUP(A137,'Data pick slip'!B:F,5,FALSE)</f>
        <v>KLJ-MC200-00</v>
      </c>
      <c r="C137" s="156">
        <v>109582</v>
      </c>
      <c r="D137" s="156" t="e">
        <f>VLOOKUP(C137,Stock_list!D:L,2,FALSE)</f>
        <v>#N/A</v>
      </c>
      <c r="E137" s="160" t="e">
        <f>VLOOKUP(C137,Stock_list!D:L,9,FALSE)</f>
        <v>#N/A</v>
      </c>
      <c r="F137" s="157" t="s">
        <v>379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274</v>
      </c>
      <c r="B138" s="114" t="str">
        <f>VLOOKUP(A138,'Data pick slip'!B:F,5,FALSE)</f>
        <v>KLJ-MC400-00</v>
      </c>
      <c r="C138" s="156">
        <v>109582</v>
      </c>
      <c r="D138" s="156" t="e">
        <f>VLOOKUP(C138,Stock_list!D:L,2,FALSE)</f>
        <v>#N/A</v>
      </c>
      <c r="E138" s="160" t="e">
        <f>VLOOKUP(C138,Stock_list!D:L,9,FALSE)</f>
        <v>#N/A</v>
      </c>
      <c r="F138" s="157" t="s">
        <v>379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285</v>
      </c>
      <c r="B139" s="114" t="str">
        <f>VLOOKUP(A139,'Data pick slip'!B:F,5,FALSE)</f>
        <v>KHJ-MC100-00</v>
      </c>
      <c r="C139" s="156">
        <v>109565</v>
      </c>
      <c r="D139" s="156" t="e">
        <f>VLOOKUP(C139,Stock_list!D:L,2,FALSE)</f>
        <v>#N/A</v>
      </c>
      <c r="E139" s="160" t="e">
        <f>VLOOKUP(C139,Stock_list!D:L,9,FALSE)</f>
        <v>#N/A</v>
      </c>
      <c r="F139" s="157" t="s">
        <v>379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264</v>
      </c>
      <c r="B140" s="114" t="str">
        <f>VLOOKUP(A140,'Data pick slip'!B:F,5,FALSE)</f>
        <v>KHJ-MC200-00</v>
      </c>
      <c r="C140" s="156">
        <v>109565</v>
      </c>
      <c r="D140" s="156" t="e">
        <f>VLOOKUP(C140,Stock_list!D:L,2,FALSE)</f>
        <v>#N/A</v>
      </c>
      <c r="E140" s="160" t="e">
        <f>VLOOKUP(C140,Stock_list!D:L,9,FALSE)</f>
        <v>#N/A</v>
      </c>
      <c r="F140" s="157" t="s">
        <v>379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294</v>
      </c>
      <c r="B141" s="114" t="str">
        <f>VLOOKUP(A141,'Data pick slip'!B:F,5,FALSE)</f>
        <v>KHJ-MC400-00</v>
      </c>
      <c r="C141" s="156">
        <v>109565</v>
      </c>
      <c r="D141" s="156" t="e">
        <f>VLOOKUP(C141,Stock_list!D:L,2,FALSE)</f>
        <v>#N/A</v>
      </c>
      <c r="E141" s="160" t="e">
        <f>VLOOKUP(C141,Stock_list!D:L,9,FALSE)</f>
        <v>#N/A</v>
      </c>
      <c r="F141" s="157" t="s">
        <v>379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268</v>
      </c>
      <c r="B142" s="114" t="str">
        <f>VLOOKUP(A142,'Data pick slip'!B:F,5,FALSE)</f>
        <v>KHJ-MC700-00</v>
      </c>
      <c r="C142" s="156">
        <v>109565</v>
      </c>
      <c r="D142" s="156" t="e">
        <f>VLOOKUP(C142,Stock_list!D:L,2,FALSE)</f>
        <v>#N/A</v>
      </c>
      <c r="E142" s="160" t="e">
        <f>VLOOKUP(C142,Stock_list!D:L,9,FALSE)</f>
        <v>#N/A</v>
      </c>
      <c r="F142" s="157" t="s">
        <v>379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285</v>
      </c>
      <c r="B143" s="114" t="str">
        <f>VLOOKUP(A143,'Data pick slip'!B:F,5,FALSE)</f>
        <v>KHJ-MC100-00</v>
      </c>
      <c r="C143" s="156">
        <v>109566</v>
      </c>
      <c r="D143" s="156" t="e">
        <f>VLOOKUP(C143,Stock_list!D:L,2,FALSE)</f>
        <v>#N/A</v>
      </c>
      <c r="E143" s="160" t="e">
        <f>VLOOKUP(C143,Stock_list!D:L,9,FALSE)</f>
        <v>#N/A</v>
      </c>
      <c r="F143" s="157" t="s">
        <v>379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264</v>
      </c>
      <c r="B144" s="114" t="str">
        <f>VLOOKUP(A144,'Data pick slip'!B:F,5,FALSE)</f>
        <v>KHJ-MC200-00</v>
      </c>
      <c r="C144" s="156">
        <v>109566</v>
      </c>
      <c r="D144" s="156" t="e">
        <f>VLOOKUP(C144,Stock_list!D:L,2,FALSE)</f>
        <v>#N/A</v>
      </c>
      <c r="E144" s="160" t="e">
        <f>VLOOKUP(C144,Stock_list!D:L,9,FALSE)</f>
        <v>#N/A</v>
      </c>
      <c r="F144" s="157" t="s">
        <v>379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294</v>
      </c>
      <c r="B145" s="114" t="str">
        <f>VLOOKUP(A145,'Data pick slip'!B:F,5,FALSE)</f>
        <v>KHJ-MC400-00</v>
      </c>
      <c r="C145" s="156">
        <v>109566</v>
      </c>
      <c r="D145" s="156" t="e">
        <f>VLOOKUP(C145,Stock_list!D:L,2,FALSE)</f>
        <v>#N/A</v>
      </c>
      <c r="E145" s="160" t="e">
        <f>VLOOKUP(C145,Stock_list!D:L,9,FALSE)</f>
        <v>#N/A</v>
      </c>
      <c r="F145" s="157" t="s">
        <v>379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266</v>
      </c>
      <c r="B146" s="114" t="str">
        <f>VLOOKUP(A146,'Data pick slip'!B:F,5,FALSE)</f>
        <v>KHJ-MC500-00</v>
      </c>
      <c r="C146" s="156">
        <v>109566</v>
      </c>
      <c r="D146" s="156" t="e">
        <f>VLOOKUP(C146,Stock_list!D:L,2,FALSE)</f>
        <v>#N/A</v>
      </c>
      <c r="E146" s="160" t="e">
        <f>VLOOKUP(C146,Stock_list!D:L,9,FALSE)</f>
        <v>#N/A</v>
      </c>
      <c r="F146" s="157" t="s">
        <v>379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268</v>
      </c>
      <c r="B147" s="114" t="str">
        <f>VLOOKUP(A147,'Data pick slip'!B:F,5,FALSE)</f>
        <v>KHJ-MC700-00</v>
      </c>
      <c r="C147" s="156">
        <v>109566</v>
      </c>
      <c r="D147" s="156" t="e">
        <f>VLOOKUP(C147,Stock_list!D:L,2,FALSE)</f>
        <v>#N/A</v>
      </c>
      <c r="E147" s="160" t="e">
        <f>VLOOKUP(C147,Stock_list!D:L,9,FALSE)</f>
        <v>#N/A</v>
      </c>
      <c r="F147" s="157" t="s">
        <v>379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272</v>
      </c>
      <c r="B148" s="114" t="str">
        <f>VLOOKUP(A148,'Data pick slip'!B:F,5,FALSE)</f>
        <v>KLJ-MC100-00</v>
      </c>
      <c r="C148" s="156">
        <v>109602</v>
      </c>
      <c r="D148" s="156" t="e">
        <f>VLOOKUP(C148,Stock_list!D:L,2,FALSE)</f>
        <v>#N/A</v>
      </c>
      <c r="E148" s="160" t="e">
        <f>VLOOKUP(C148,Stock_list!D:L,9,FALSE)</f>
        <v>#N/A</v>
      </c>
      <c r="F148" s="157" t="s">
        <v>379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273</v>
      </c>
      <c r="B149" s="114" t="str">
        <f>VLOOKUP(A149,'Data pick slip'!B:F,5,FALSE)</f>
        <v>KLJ-MC200-00</v>
      </c>
      <c r="C149" s="156">
        <v>109602</v>
      </c>
      <c r="D149" s="156" t="e">
        <f>VLOOKUP(C149,Stock_list!D:L,2,FALSE)</f>
        <v>#N/A</v>
      </c>
      <c r="E149" s="160" t="e">
        <f>VLOOKUP(C149,Stock_list!D:L,9,FALSE)</f>
        <v>#N/A</v>
      </c>
      <c r="F149" s="157" t="s">
        <v>379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274</v>
      </c>
      <c r="B150" s="114" t="str">
        <f>VLOOKUP(A150,'Data pick slip'!B:F,5,FALSE)</f>
        <v>KLJ-MC400-00</v>
      </c>
      <c r="C150" s="156">
        <v>109602</v>
      </c>
      <c r="D150" s="156" t="e">
        <f>VLOOKUP(C150,Stock_list!D:L,2,FALSE)</f>
        <v>#N/A</v>
      </c>
      <c r="E150" s="160" t="e">
        <f>VLOOKUP(C150,Stock_list!D:L,9,FALSE)</f>
        <v>#N/A</v>
      </c>
      <c r="F150" s="157" t="s">
        <v>379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</v>
      </c>
      <c r="B151" s="114" t="str">
        <f>VLOOKUP(A151,'Data pick slip'!B:F,5,FALSE)</f>
        <v>KLJ-MC500-00</v>
      </c>
      <c r="C151" s="156">
        <v>109602</v>
      </c>
      <c r="D151" s="156" t="e">
        <f>VLOOKUP(C151,Stock_list!D:L,2,FALSE)</f>
        <v>#N/A</v>
      </c>
      <c r="E151" s="160" t="e">
        <f>VLOOKUP(C151,Stock_list!D:L,9,FALSE)</f>
        <v>#N/A</v>
      </c>
      <c r="F151" s="157" t="s">
        <v>379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264</v>
      </c>
      <c r="B152" s="114" t="str">
        <f>VLOOKUP(A152,'Data pick slip'!B:F,5,FALSE)</f>
        <v>KHJ-MC200-00</v>
      </c>
      <c r="C152" s="156">
        <v>109602</v>
      </c>
      <c r="D152" s="156" t="e">
        <f>VLOOKUP(C152,Stock_list!D:L,2,FALSE)</f>
        <v>#N/A</v>
      </c>
      <c r="E152" s="160" t="e">
        <f>VLOOKUP(C152,Stock_list!D:L,9,FALSE)</f>
        <v>#N/A</v>
      </c>
      <c r="F152" s="157" t="s">
        <v>379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265</v>
      </c>
      <c r="B153" s="114" t="str">
        <f>VLOOKUP(A153,'Data pick slip'!B:F,5,FALSE)</f>
        <v>KHJ-MC400-00</v>
      </c>
      <c r="C153" s="156">
        <v>109602</v>
      </c>
      <c r="D153" s="156" t="e">
        <f>VLOOKUP(C153,Stock_list!D:L,2,FALSE)</f>
        <v>#N/A</v>
      </c>
      <c r="E153" s="160" t="e">
        <f>VLOOKUP(C153,Stock_list!D:L,9,FALSE)</f>
        <v>#N/A</v>
      </c>
      <c r="F153" s="157" t="s">
        <v>379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266</v>
      </c>
      <c r="B154" s="114" t="str">
        <f>VLOOKUP(A154,'Data pick slip'!B:F,5,FALSE)</f>
        <v>KHJ-MC500-00</v>
      </c>
      <c r="C154" s="156">
        <v>109602</v>
      </c>
      <c r="D154" s="156" t="e">
        <f>VLOOKUP(C154,Stock_list!D:L,2,FALSE)</f>
        <v>#N/A</v>
      </c>
      <c r="E154" s="160" t="e">
        <f>VLOOKUP(C154,Stock_list!D:L,9,FALSE)</f>
        <v>#N/A</v>
      </c>
      <c r="F154" s="157" t="s">
        <v>379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285</v>
      </c>
      <c r="B155" s="114" t="str">
        <f>VLOOKUP(A155,'Data pick slip'!B:F,5,FALSE)</f>
        <v>KHJ-MC100-00</v>
      </c>
      <c r="C155" s="156">
        <v>109603</v>
      </c>
      <c r="D155" s="156" t="e">
        <f>VLOOKUP(C155,Stock_list!D:L,2,FALSE)</f>
        <v>#N/A</v>
      </c>
      <c r="E155" s="160" t="e">
        <f>VLOOKUP(C155,Stock_list!D:L,9,FALSE)</f>
        <v>#N/A</v>
      </c>
      <c r="F155" s="157" t="s">
        <v>379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264</v>
      </c>
      <c r="B156" s="114" t="str">
        <f>VLOOKUP(A156,'Data pick slip'!B:F,5,FALSE)</f>
        <v>KHJ-MC200-00</v>
      </c>
      <c r="C156" s="156">
        <v>109603</v>
      </c>
      <c r="D156" s="156" t="e">
        <f>VLOOKUP(C156,Stock_list!D:L,2,FALSE)</f>
        <v>#N/A</v>
      </c>
      <c r="E156" s="160" t="e">
        <f>VLOOKUP(C156,Stock_list!D:L,9,FALSE)</f>
        <v>#N/A</v>
      </c>
      <c r="F156" s="157" t="s">
        <v>379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294</v>
      </c>
      <c r="B157" s="114" t="str">
        <f>VLOOKUP(A157,'Data pick slip'!B:F,5,FALSE)</f>
        <v>KHJ-MC400-00</v>
      </c>
      <c r="C157" s="156">
        <v>109603</v>
      </c>
      <c r="D157" s="156" t="e">
        <f>VLOOKUP(C157,Stock_list!D:L,2,FALSE)</f>
        <v>#N/A</v>
      </c>
      <c r="E157" s="160" t="e">
        <f>VLOOKUP(C157,Stock_list!D:L,9,FALSE)</f>
        <v>#N/A</v>
      </c>
      <c r="F157" s="157" t="s">
        <v>379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268</v>
      </c>
      <c r="B158" s="114" t="str">
        <f>VLOOKUP(A158,'Data pick slip'!B:F,5,FALSE)</f>
        <v>KHJ-MC700-00</v>
      </c>
      <c r="C158" s="156">
        <v>109603</v>
      </c>
      <c r="D158" s="156" t="e">
        <f>VLOOKUP(C158,Stock_list!D:L,2,FALSE)</f>
        <v>#N/A</v>
      </c>
      <c r="E158" s="160" t="e">
        <f>VLOOKUP(C158,Stock_list!D:L,9,FALSE)</f>
        <v>#N/A</v>
      </c>
      <c r="F158" s="157" t="s">
        <v>379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261</v>
      </c>
      <c r="B159" s="114" t="str">
        <f>VLOOKUP(A159,'Data pick slip'!B:F,5,FALSE)</f>
        <v>KHJ-MC100-00</v>
      </c>
      <c r="C159" s="156">
        <v>109588</v>
      </c>
      <c r="D159" s="156" t="e">
        <f>VLOOKUP(C159,Stock_list!D:L,2,FALSE)</f>
        <v>#N/A</v>
      </c>
      <c r="E159" s="160" t="e">
        <f>VLOOKUP(C159,Stock_list!D:L,9,FALSE)</f>
        <v>#N/A</v>
      </c>
      <c r="F159" s="157" t="s">
        <v>379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264</v>
      </c>
      <c r="B160" s="114" t="str">
        <f>VLOOKUP(A160,'Data pick slip'!B:F,5,FALSE)</f>
        <v>KHJ-MC200-00</v>
      </c>
      <c r="C160" s="156">
        <v>109588</v>
      </c>
      <c r="D160" s="156" t="e">
        <f>VLOOKUP(C160,Stock_list!D:L,2,FALSE)</f>
        <v>#N/A</v>
      </c>
      <c r="E160" s="160" t="e">
        <f>VLOOKUP(C160,Stock_list!D:L,9,FALSE)</f>
        <v>#N/A</v>
      </c>
      <c r="F160" s="157" t="s">
        <v>379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265</v>
      </c>
      <c r="B161" s="114" t="str">
        <f>VLOOKUP(A161,'Data pick slip'!B:F,5,FALSE)</f>
        <v>KHJ-MC400-00</v>
      </c>
      <c r="C161" s="156">
        <v>109588</v>
      </c>
      <c r="D161" s="156" t="e">
        <f>VLOOKUP(C161,Stock_list!D:L,2,FALSE)</f>
        <v>#N/A</v>
      </c>
      <c r="E161" s="160" t="e">
        <f>VLOOKUP(C161,Stock_list!D:L,9,FALSE)</f>
        <v>#N/A</v>
      </c>
      <c r="F161" s="157" t="s">
        <v>379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266</v>
      </c>
      <c r="B162" s="114" t="str">
        <f>VLOOKUP(A162,'Data pick slip'!B:F,5,FALSE)</f>
        <v>KHJ-MC500-00</v>
      </c>
      <c r="C162" s="156">
        <v>109588</v>
      </c>
      <c r="D162" s="156" t="e">
        <f>VLOOKUP(C162,Stock_list!D:L,2,FALSE)</f>
        <v>#N/A</v>
      </c>
      <c r="E162" s="160" t="e">
        <f>VLOOKUP(C162,Stock_list!D:L,9,FALSE)</f>
        <v>#N/A</v>
      </c>
      <c r="F162" s="157" t="s">
        <v>379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285</v>
      </c>
      <c r="B163" s="114" t="str">
        <f>VLOOKUP(A163,'Data pick slip'!B:F,5,FALSE)</f>
        <v>KHJ-MC100-00</v>
      </c>
      <c r="D163" s="156"/>
      <c r="E163" s="160" t="s">
        <v>386</v>
      </c>
      <c r="F163" s="157" t="s">
        <v>290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264</v>
      </c>
      <c r="B164" s="114" t="str">
        <f>VLOOKUP(A164,'Data pick slip'!B:F,5,FALSE)</f>
        <v>KHJ-MC200-00</v>
      </c>
      <c r="D164" s="156"/>
      <c r="E164" s="160" t="s">
        <v>386</v>
      </c>
      <c r="F164" s="157" t="s">
        <v>290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266</v>
      </c>
      <c r="B165" s="114" t="str">
        <f>VLOOKUP(A165,'Data pick slip'!B:F,5,FALSE)</f>
        <v>KHJ-MC500-00</v>
      </c>
      <c r="D165" s="156"/>
      <c r="E165" s="160" t="s">
        <v>386</v>
      </c>
      <c r="F165" s="157" t="s">
        <v>290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274</v>
      </c>
      <c r="B166" s="114" t="str">
        <f>VLOOKUP(A166,'Data pick slip'!B:F,5,FALSE)</f>
        <v>KLJ-MC400-00</v>
      </c>
      <c r="D166" s="156"/>
      <c r="E166" s="160" t="s">
        <v>386</v>
      </c>
      <c r="F166" s="157" t="s">
        <v>290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261</v>
      </c>
      <c r="B167" s="114" t="str">
        <f>VLOOKUP(A167,'Data pick slip'!B:F,5,FALSE)</f>
        <v>KHJ-MC100-00</v>
      </c>
      <c r="D167" s="156"/>
      <c r="E167" s="160" t="s">
        <v>387</v>
      </c>
      <c r="F167" s="157" t="s">
        <v>290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264</v>
      </c>
      <c r="B168" s="114" t="str">
        <f>VLOOKUP(A168,'Data pick slip'!B:F,5,FALSE)</f>
        <v>KHJ-MC200-00</v>
      </c>
      <c r="D168" s="156"/>
      <c r="E168" s="160" t="s">
        <v>387</v>
      </c>
      <c r="F168" s="157" t="s">
        <v>290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265</v>
      </c>
      <c r="B169" s="114" t="str">
        <f>VLOOKUP(A169,'Data pick slip'!B:F,5,FALSE)</f>
        <v>KHJ-MC400-00</v>
      </c>
      <c r="D169" s="156"/>
      <c r="E169" s="160" t="s">
        <v>387</v>
      </c>
      <c r="F169" s="157" t="s">
        <v>290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267</v>
      </c>
      <c r="B170" s="114" t="str">
        <f>VLOOKUP(A170,'Data pick slip'!B:F,5,FALSE)</f>
        <v>KHJ-MC600-00</v>
      </c>
      <c r="D170" s="156"/>
      <c r="E170" s="160" t="s">
        <v>387</v>
      </c>
      <c r="F170" s="157" t="s">
        <v>290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268</v>
      </c>
      <c r="B171" s="114" t="str">
        <f>VLOOKUP(A171,'Data pick slip'!B:F,5,FALSE)</f>
        <v>KHJ-MC700-00</v>
      </c>
      <c r="D171" s="156"/>
      <c r="E171" s="160" t="s">
        <v>387</v>
      </c>
      <c r="F171" s="157" t="s">
        <v>290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272</v>
      </c>
      <c r="B172" s="114" t="str">
        <f>VLOOKUP(A172,'Data pick slip'!B:F,5,FALSE)</f>
        <v>KLJ-MC100-00</v>
      </c>
      <c r="C172" s="156">
        <v>109610</v>
      </c>
      <c r="D172" s="156" t="e">
        <f>VLOOKUP(C172,Stock_list!D:L,2,FALSE)</f>
        <v>#N/A</v>
      </c>
      <c r="E172" s="160" t="e">
        <f>VLOOKUP(C172,Stock_list!D:L,9,FALSE)</f>
        <v>#N/A</v>
      </c>
      <c r="F172" s="157" t="s">
        <v>379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273</v>
      </c>
      <c r="B173" s="114" t="str">
        <f>VLOOKUP(A173,'Data pick slip'!B:F,5,FALSE)</f>
        <v>KLJ-MC200-00</v>
      </c>
      <c r="C173" s="156">
        <v>109610</v>
      </c>
      <c r="D173" s="156" t="e">
        <f>VLOOKUP(C173,Stock_list!D:L,2,FALSE)</f>
        <v>#N/A</v>
      </c>
      <c r="E173" s="160" t="e">
        <f>VLOOKUP(C173,Stock_list!D:L,9,FALSE)</f>
        <v>#N/A</v>
      </c>
      <c r="F173" s="157" t="s">
        <v>379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274</v>
      </c>
      <c r="B174" s="114" t="str">
        <f>VLOOKUP(A174,'Data pick slip'!B:F,5,FALSE)</f>
        <v>KLJ-MC400-00</v>
      </c>
      <c r="C174" s="156">
        <v>109610</v>
      </c>
      <c r="D174" s="156" t="e">
        <f>VLOOKUP(C174,Stock_list!D:L,2,FALSE)</f>
        <v>#N/A</v>
      </c>
      <c r="E174" s="160" t="e">
        <f>VLOOKUP(C174,Stock_list!D:L,9,FALSE)</f>
        <v>#N/A</v>
      </c>
      <c r="F174" s="157" t="s">
        <v>379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261</v>
      </c>
      <c r="B175" s="114" t="str">
        <f>VLOOKUP(A175,'Data pick slip'!B:F,5,FALSE)</f>
        <v>KHJ-MC100-00</v>
      </c>
      <c r="C175" s="156">
        <v>109608</v>
      </c>
      <c r="D175" s="156" t="e">
        <f>VLOOKUP(C175,Stock_list!D:L,2,FALSE)</f>
        <v>#N/A</v>
      </c>
      <c r="E175" s="160" t="e">
        <f>VLOOKUP(C175,Stock_list!D:L,9,FALSE)</f>
        <v>#N/A</v>
      </c>
      <c r="F175" s="157" t="s">
        <v>379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261</v>
      </c>
      <c r="B176" s="114" t="str">
        <f>VLOOKUP(A176,'Data pick slip'!B:F,5,FALSE)</f>
        <v>KHJ-MC100-00</v>
      </c>
      <c r="D176" s="156"/>
      <c r="E176" s="160" t="s">
        <v>388</v>
      </c>
      <c r="F176" s="157" t="s">
        <v>290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264</v>
      </c>
      <c r="B177" s="114" t="str">
        <f>VLOOKUP(A177,'Data pick slip'!B:F,5,FALSE)</f>
        <v>KHJ-MC200-00</v>
      </c>
      <c r="D177" s="156"/>
      <c r="E177" s="160" t="s">
        <v>388</v>
      </c>
      <c r="F177" s="157" t="s">
        <v>290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261</v>
      </c>
      <c r="B178" s="114" t="str">
        <f>VLOOKUP(A178,'Data pick slip'!B:F,5,FALSE)</f>
        <v>KHJ-MC100-00</v>
      </c>
      <c r="D178" s="156"/>
      <c r="E178" s="160" t="s">
        <v>389</v>
      </c>
      <c r="F178" s="157" t="s">
        <v>290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264</v>
      </c>
      <c r="B179" s="114" t="str">
        <f>VLOOKUP(A179,'Data pick slip'!B:F,5,FALSE)</f>
        <v>KHJ-MC200-00</v>
      </c>
      <c r="D179" s="156"/>
      <c r="E179" s="160" t="s">
        <v>389</v>
      </c>
      <c r="F179" s="157" t="s">
        <v>290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266</v>
      </c>
      <c r="B180" s="114" t="str">
        <f>VLOOKUP(A180,'Data pick slip'!B:F,5,FALSE)</f>
        <v>KHJ-MC500-00</v>
      </c>
      <c r="D180" s="156"/>
      <c r="E180" s="160" t="s">
        <v>389</v>
      </c>
      <c r="F180" s="157" t="s">
        <v>290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272</v>
      </c>
      <c r="B181" s="114" t="str">
        <f>VLOOKUP(A181,'Data pick slip'!B:F,5,FALSE)</f>
        <v>KLJ-MC100-00</v>
      </c>
      <c r="D181" s="156"/>
      <c r="E181" s="160" t="s">
        <v>389</v>
      </c>
      <c r="F181" s="157" t="s">
        <v>290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272</v>
      </c>
      <c r="B182" s="114" t="str">
        <f>VLOOKUP(A182,'Data pick slip'!B:F,5,FALSE)</f>
        <v>KLJ-MC100-00</v>
      </c>
      <c r="D182" s="156"/>
      <c r="E182" s="160" t="s">
        <v>390</v>
      </c>
      <c r="F182" s="157" t="s">
        <v>290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273</v>
      </c>
      <c r="B183" s="114" t="str">
        <f>VLOOKUP(A183,'Data pick slip'!B:F,5,FALSE)</f>
        <v>KLJ-MC200-00</v>
      </c>
      <c r="D183" s="156"/>
      <c r="E183" s="160" t="s">
        <v>390</v>
      </c>
      <c r="F183" s="157" t="s">
        <v>290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274</v>
      </c>
      <c r="B184" s="114" t="str">
        <f>VLOOKUP(A184,'Data pick slip'!B:F,5,FALSE)</f>
        <v>KLJ-MC400-00</v>
      </c>
      <c r="D184" s="156"/>
      <c r="E184" s="160" t="s">
        <v>390</v>
      </c>
      <c r="F184" s="157" t="s">
        <v>290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264</v>
      </c>
      <c r="B185" s="114" t="str">
        <f>VLOOKUP(A185,'Data pick slip'!B:F,5,FALSE)</f>
        <v>KHJ-MC200-00</v>
      </c>
      <c r="D185" s="156"/>
      <c r="E185" s="160" t="s">
        <v>390</v>
      </c>
      <c r="F185" s="157" t="s">
        <v>290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264</v>
      </c>
      <c r="B186" s="114" t="str">
        <f>VLOOKUP(A186,'Data pick slip'!B:F,5,FALSE)</f>
        <v>KHJ-MC200-00</v>
      </c>
      <c r="D186" s="156"/>
      <c r="E186" s="160" t="s">
        <v>391</v>
      </c>
      <c r="F186" s="157" t="s">
        <v>290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264</v>
      </c>
      <c r="B187" s="114" t="str">
        <f>VLOOKUP(A187,'Data pick slip'!B:F,5,FALSE)</f>
        <v>KHJ-MC200-00</v>
      </c>
      <c r="D187" s="156"/>
      <c r="E187" s="160" t="s">
        <v>392</v>
      </c>
      <c r="F187" s="157" t="s">
        <v>290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261</v>
      </c>
      <c r="B188" s="114" t="str">
        <f>VLOOKUP(A188,'Data pick slip'!B:F,5,FALSE)</f>
        <v>KHJ-MC100-00</v>
      </c>
      <c r="D188" s="156"/>
      <c r="E188" s="160" t="s">
        <v>393</v>
      </c>
      <c r="F188" s="157" t="s">
        <v>375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261</v>
      </c>
      <c r="B189" s="114" t="str">
        <f>VLOOKUP(A189,'Data pick slip'!B:F,5,FALSE)</f>
        <v>KHJ-MC100-00</v>
      </c>
      <c r="C189" s="156">
        <v>109664</v>
      </c>
      <c r="D189" s="156" t="e">
        <f>VLOOKUP(C189,Stock_list!D:L,2,FALSE)</f>
        <v>#N/A</v>
      </c>
      <c r="E189" s="160" t="e">
        <f>VLOOKUP(C189,Stock_list!D:L,9,FALSE)</f>
        <v>#N/A</v>
      </c>
      <c r="F189" s="157" t="s">
        <v>379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264</v>
      </c>
      <c r="B190" s="114" t="str">
        <f>VLOOKUP(A190,'Data pick slip'!B:F,5,FALSE)</f>
        <v>KHJ-MC200-00</v>
      </c>
      <c r="C190" s="156">
        <v>109664</v>
      </c>
      <c r="D190" s="156" t="e">
        <f>VLOOKUP(C190,Stock_list!D:L,2,FALSE)</f>
        <v>#N/A</v>
      </c>
      <c r="E190" s="160" t="e">
        <f>VLOOKUP(C190,Stock_list!D:L,9,FALSE)</f>
        <v>#N/A</v>
      </c>
      <c r="F190" s="157" t="s">
        <v>379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265</v>
      </c>
      <c r="B191" s="114" t="str">
        <f>VLOOKUP(A191,'Data pick slip'!B:F,5,FALSE)</f>
        <v>KHJ-MC400-00</v>
      </c>
      <c r="C191" s="156">
        <v>109664</v>
      </c>
      <c r="D191" s="156" t="e">
        <f>VLOOKUP(C191,Stock_list!D:L,2,FALSE)</f>
        <v>#N/A</v>
      </c>
      <c r="E191" s="160" t="e">
        <f>VLOOKUP(C191,Stock_list!D:L,9,FALSE)</f>
        <v>#N/A</v>
      </c>
      <c r="F191" s="157" t="s">
        <v>379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266</v>
      </c>
      <c r="B192" s="114" t="str">
        <f>VLOOKUP(A192,'Data pick slip'!B:F,5,FALSE)</f>
        <v>KHJ-MC500-00</v>
      </c>
      <c r="C192" s="156">
        <v>109664</v>
      </c>
      <c r="D192" s="156" t="e">
        <f>VLOOKUP(C192,Stock_list!D:L,2,FALSE)</f>
        <v>#N/A</v>
      </c>
      <c r="E192" s="160" t="e">
        <f>VLOOKUP(C192,Stock_list!D:L,9,FALSE)</f>
        <v>#N/A</v>
      </c>
      <c r="F192" s="157" t="s">
        <v>379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264</v>
      </c>
      <c r="B193" s="114" t="str">
        <f>VLOOKUP(A193,'Data pick slip'!B:F,5,FALSE)</f>
        <v>KHJ-MC200-00</v>
      </c>
      <c r="C193" s="156">
        <v>109665</v>
      </c>
      <c r="D193" s="156" t="e">
        <f>VLOOKUP(C193,Stock_list!D:L,2,FALSE)</f>
        <v>#N/A</v>
      </c>
      <c r="E193" s="160" t="e">
        <f>VLOOKUP(C193,Stock_list!D:L,9,FALSE)</f>
        <v>#N/A</v>
      </c>
      <c r="F193" s="157" t="s">
        <v>379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264</v>
      </c>
      <c r="B194" s="114" t="str">
        <f>VLOOKUP(A194,'Data pick slip'!B:F,5,FALSE)</f>
        <v>KHJ-MC200-00</v>
      </c>
      <c r="D194" s="156"/>
      <c r="E194" s="160" t="s">
        <v>394</v>
      </c>
      <c r="F194" s="157" t="s">
        <v>290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266</v>
      </c>
      <c r="B195" s="114" t="str">
        <f>VLOOKUP(A195,'Data pick slip'!B:F,5,FALSE)</f>
        <v>KHJ-MC500-00</v>
      </c>
      <c r="D195" s="156"/>
      <c r="E195" s="160" t="s">
        <v>394</v>
      </c>
      <c r="F195" s="157" t="s">
        <v>290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267</v>
      </c>
      <c r="B196" s="114" t="str">
        <f>VLOOKUP(A196,'Data pick slip'!B:F,5,FALSE)</f>
        <v>KHJ-MC600-00</v>
      </c>
      <c r="D196" s="156"/>
      <c r="E196" s="160" t="s">
        <v>394</v>
      </c>
      <c r="F196" s="157" t="s">
        <v>290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264</v>
      </c>
      <c r="B197" s="114" t="str">
        <f>VLOOKUP(A197,'Data pick slip'!B:F,5,FALSE)</f>
        <v>KHJ-MC200-00</v>
      </c>
      <c r="C197" s="161"/>
      <c r="D197" s="161"/>
      <c r="E197" s="302" t="s">
        <v>395</v>
      </c>
      <c r="F197" s="162" t="s">
        <v>290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261</v>
      </c>
      <c r="B198" s="114" t="str">
        <f>VLOOKUP(A198,'Data pick slip'!B:F,5,FALSE)</f>
        <v>KHJ-MC100-00</v>
      </c>
      <c r="D198" s="156"/>
      <c r="E198" s="160" t="s">
        <v>396</v>
      </c>
      <c r="F198" s="157" t="s">
        <v>290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264</v>
      </c>
      <c r="B199" s="114" t="str">
        <f>VLOOKUP(A199,'Data pick slip'!B:F,5,FALSE)</f>
        <v>KHJ-MC200-00</v>
      </c>
      <c r="D199" s="156"/>
      <c r="E199" s="160" t="s">
        <v>396</v>
      </c>
      <c r="F199" s="157" t="s">
        <v>290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265</v>
      </c>
      <c r="B200" s="114" t="str">
        <f>VLOOKUP(A200,'Data pick slip'!B:F,5,FALSE)</f>
        <v>KHJ-MC400-00</v>
      </c>
      <c r="D200" s="156"/>
      <c r="E200" s="160" t="s">
        <v>396</v>
      </c>
      <c r="F200" s="157" t="s">
        <v>290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266</v>
      </c>
      <c r="B201" s="114" t="str">
        <f>VLOOKUP(A201,'Data pick slip'!B:F,5,FALSE)</f>
        <v>KHJ-MC500-00</v>
      </c>
      <c r="D201" s="156"/>
      <c r="E201" s="160" t="s">
        <v>396</v>
      </c>
      <c r="F201" s="157" t="s">
        <v>290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268</v>
      </c>
      <c r="B202" s="114" t="str">
        <f>VLOOKUP(A202,'Data pick slip'!B:F,5,FALSE)</f>
        <v>KHJ-MC700-00</v>
      </c>
      <c r="D202" s="156"/>
      <c r="E202" s="160" t="s">
        <v>396</v>
      </c>
      <c r="F202" s="157" t="s">
        <v>290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264</v>
      </c>
      <c r="B203" s="114" t="str">
        <f>VLOOKUP(A203,'Data pick slip'!B:F,5,FALSE)</f>
        <v>KHJ-MC200-00</v>
      </c>
      <c r="C203" s="156">
        <v>109686</v>
      </c>
      <c r="D203" s="156" t="e">
        <f>VLOOKUP(C203,Stock_list!D:L,2,FALSE)</f>
        <v>#N/A</v>
      </c>
      <c r="E203" s="160" t="e">
        <f>VLOOKUP(C203,Stock_list!D:L,9,FALSE)</f>
        <v>#N/A</v>
      </c>
      <c r="F203" s="157" t="s">
        <v>379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272</v>
      </c>
      <c r="B204" s="114" t="str">
        <f>VLOOKUP(A204,'Data pick slip'!B:F,5,FALSE)</f>
        <v>KLJ-MC100-00</v>
      </c>
      <c r="D204" s="156"/>
      <c r="E204" s="160" t="s">
        <v>397</v>
      </c>
      <c r="F204" s="157" t="s">
        <v>290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273</v>
      </c>
      <c r="B205" s="114" t="str">
        <f>VLOOKUP(A205,'Data pick slip'!B:F,5,FALSE)</f>
        <v>KLJ-MC200-00</v>
      </c>
      <c r="D205" s="156"/>
      <c r="E205" s="160" t="s">
        <v>397</v>
      </c>
      <c r="F205" s="157" t="s">
        <v>290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274</v>
      </c>
      <c r="B206" s="114" t="str">
        <f>VLOOKUP(A206,'Data pick slip'!B:F,5,FALSE)</f>
        <v>KLJ-MC400-00</v>
      </c>
      <c r="D206" s="156"/>
      <c r="E206" s="160" t="s">
        <v>397</v>
      </c>
      <c r="F206" s="157" t="s">
        <v>290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265</v>
      </c>
      <c r="B207" s="114" t="str">
        <f>VLOOKUP(A207,'Data pick slip'!B:F,5,FALSE)</f>
        <v>KHJ-MC400-00</v>
      </c>
      <c r="D207" s="156"/>
      <c r="E207" s="160" t="s">
        <v>397</v>
      </c>
      <c r="F207" s="157" t="s">
        <v>290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266</v>
      </c>
      <c r="B208" s="114" t="str">
        <f>VLOOKUP(A208,'Data pick slip'!B:F,5,FALSE)</f>
        <v>KHJ-MC500-00</v>
      </c>
      <c r="D208" s="156"/>
      <c r="E208" s="160" t="s">
        <v>397</v>
      </c>
      <c r="F208" s="157" t="s">
        <v>290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261</v>
      </c>
      <c r="B209" s="114" t="str">
        <f>VLOOKUP(A209,'Data pick slip'!B:F,5,FALSE)</f>
        <v>KHJ-MC100-00</v>
      </c>
      <c r="D209" s="156"/>
      <c r="E209" s="160" t="s">
        <v>398</v>
      </c>
      <c r="F209" s="157" t="s">
        <v>290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264</v>
      </c>
      <c r="B210" s="114" t="str">
        <f>VLOOKUP(A210,'Data pick slip'!B:F,5,FALSE)</f>
        <v>KHJ-MC200-00</v>
      </c>
      <c r="C210" s="161"/>
      <c r="D210" s="161"/>
      <c r="E210" s="302" t="s">
        <v>399</v>
      </c>
      <c r="F210" s="162" t="s">
        <v>290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261</v>
      </c>
      <c r="B211" s="114" t="str">
        <f>VLOOKUP(A211,'Data pick slip'!B:F,5,FALSE)</f>
        <v>KHJ-MC100-00</v>
      </c>
      <c r="C211" s="156">
        <v>109705</v>
      </c>
      <c r="D211" s="156" t="e">
        <f>VLOOKUP(C211,Stock_list!D:L,2,FALSE)</f>
        <v>#N/A</v>
      </c>
      <c r="E211" s="160" t="e">
        <f>VLOOKUP(C211,Stock_list!D:L,9,FALSE)</f>
        <v>#N/A</v>
      </c>
      <c r="F211" s="157" t="s">
        <v>379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264</v>
      </c>
      <c r="B212" s="114" t="str">
        <f>VLOOKUP(A212,'Data pick slip'!B:F,5,FALSE)</f>
        <v>KHJ-MC200-00</v>
      </c>
      <c r="C212" s="156">
        <v>109705</v>
      </c>
      <c r="D212" s="156" t="e">
        <f>VLOOKUP(C212,Stock_list!D:L,2,FALSE)</f>
        <v>#N/A</v>
      </c>
      <c r="E212" s="160" t="e">
        <f>VLOOKUP(C212,Stock_list!D:L,9,FALSE)</f>
        <v>#N/A</v>
      </c>
      <c r="F212" s="157" t="s">
        <v>379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261</v>
      </c>
      <c r="B213" s="114" t="str">
        <f>VLOOKUP(A213,'Data pick slip'!B:F,5,FALSE)</f>
        <v>KHJ-MC100-00</v>
      </c>
      <c r="D213" s="156"/>
      <c r="E213" s="160" t="s">
        <v>400</v>
      </c>
      <c r="F213" s="157" t="s">
        <v>290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264</v>
      </c>
      <c r="B214" s="114" t="str">
        <f>VLOOKUP(A214,'Data pick slip'!B:F,5,FALSE)</f>
        <v>KHJ-MC200-00</v>
      </c>
      <c r="D214" s="156"/>
      <c r="E214" s="160" t="s">
        <v>400</v>
      </c>
      <c r="F214" s="157" t="s">
        <v>290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265</v>
      </c>
      <c r="B215" s="114" t="str">
        <f>VLOOKUP(A215,'Data pick slip'!B:F,5,FALSE)</f>
        <v>KHJ-MC400-00</v>
      </c>
      <c r="D215" s="156"/>
      <c r="E215" s="160" t="s">
        <v>400</v>
      </c>
      <c r="F215" s="157" t="s">
        <v>290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261</v>
      </c>
      <c r="B216" s="114" t="str">
        <f>VLOOKUP(A216,'Data pick slip'!B:F,5,FALSE)</f>
        <v>KHJ-MC100-00</v>
      </c>
      <c r="D216" s="156"/>
      <c r="E216" s="160" t="s">
        <v>400</v>
      </c>
      <c r="F216" s="157" t="s">
        <v>290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261</v>
      </c>
      <c r="B217" s="114" t="str">
        <f>VLOOKUP(A217,'Data pick slip'!B:F,5,FALSE)</f>
        <v>KHJ-MC100-00</v>
      </c>
      <c r="D217" s="156"/>
      <c r="E217" s="160" t="s">
        <v>401</v>
      </c>
      <c r="F217" s="157" t="s">
        <v>290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</v>
      </c>
      <c r="B218" s="114" t="str">
        <f>VLOOKUP(A218,'Data pick slip'!B:F,5,FALSE)</f>
        <v>KLJ-MC500-00</v>
      </c>
      <c r="D218" s="156"/>
      <c r="E218" s="160" t="s">
        <v>401</v>
      </c>
      <c r="F218" s="157" t="s">
        <v>290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265</v>
      </c>
      <c r="B219" s="114" t="str">
        <f>VLOOKUP(A219,'Data pick slip'!B:F,5,FALSE)</f>
        <v>KHJ-MC400-00</v>
      </c>
      <c r="D219" s="156"/>
      <c r="E219" s="160" t="s">
        <v>401</v>
      </c>
      <c r="F219" s="157" t="s">
        <v>290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261</v>
      </c>
      <c r="B220" s="114" t="str">
        <f>VLOOKUP(A220,'Data pick slip'!B:F,5,FALSE)</f>
        <v>KHJ-MC100-00</v>
      </c>
      <c r="C220" s="156">
        <v>109715</v>
      </c>
      <c r="D220" s="156" t="e">
        <f>VLOOKUP(C220,Stock_list!D:L,2,FALSE)</f>
        <v>#N/A</v>
      </c>
      <c r="E220" s="160" t="e">
        <f>VLOOKUP(C220,Stock_list!D:L,9,FALSE)</f>
        <v>#N/A</v>
      </c>
      <c r="F220" s="157" t="s">
        <v>379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264</v>
      </c>
      <c r="B221" s="114" t="str">
        <f>VLOOKUP(A221,'Data pick slip'!B:F,5,FALSE)</f>
        <v>KHJ-MC200-00</v>
      </c>
      <c r="C221" s="156">
        <v>109715</v>
      </c>
      <c r="D221" s="156" t="e">
        <f>VLOOKUP(C221,Stock_list!D:L,2,FALSE)</f>
        <v>#N/A</v>
      </c>
      <c r="E221" s="160" t="e">
        <f>VLOOKUP(C221,Stock_list!D:L,9,FALSE)</f>
        <v>#N/A</v>
      </c>
      <c r="F221" s="157" t="s">
        <v>379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265</v>
      </c>
      <c r="B222" s="114" t="str">
        <f>VLOOKUP(A222,'Data pick slip'!B:F,5,FALSE)</f>
        <v>KHJ-MC400-00</v>
      </c>
      <c r="C222" s="156">
        <v>109715</v>
      </c>
      <c r="D222" s="156" t="e">
        <f>VLOOKUP(C222,Stock_list!D:L,2,FALSE)</f>
        <v>#N/A</v>
      </c>
      <c r="E222" s="160" t="e">
        <f>VLOOKUP(C222,Stock_list!D:L,9,FALSE)</f>
        <v>#N/A</v>
      </c>
      <c r="F222" s="157" t="s">
        <v>379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264</v>
      </c>
      <c r="B223" s="114" t="str">
        <f>VLOOKUP(A223,'Data pick slip'!B:F,5,FALSE)</f>
        <v>KHJ-MC200-00</v>
      </c>
      <c r="C223" s="161"/>
      <c r="D223" s="161"/>
      <c r="E223" s="302" t="s">
        <v>402</v>
      </c>
      <c r="F223" s="162" t="s">
        <v>290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261</v>
      </c>
      <c r="B224" s="114" t="str">
        <f>VLOOKUP(A224,'Data pick slip'!B:F,5,FALSE)</f>
        <v>KHJ-MC100-00</v>
      </c>
      <c r="D224" s="156"/>
      <c r="E224" s="160" t="s">
        <v>403</v>
      </c>
      <c r="F224" s="157" t="s">
        <v>290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265</v>
      </c>
      <c r="B225" s="114" t="str">
        <f>VLOOKUP(A225,'Data pick slip'!B:F,5,FALSE)</f>
        <v>KHJ-MC400-00</v>
      </c>
      <c r="D225" s="156"/>
      <c r="E225" s="160" t="s">
        <v>403</v>
      </c>
      <c r="F225" s="157" t="s">
        <v>290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261</v>
      </c>
      <c r="B226" s="114" t="str">
        <f>VLOOKUP(A226,'Data pick slip'!B:F,5,FALSE)</f>
        <v>KHJ-MC100-00</v>
      </c>
      <c r="D226" s="156"/>
      <c r="E226" s="160" t="s">
        <v>404</v>
      </c>
      <c r="F226" s="157" t="s">
        <v>290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266</v>
      </c>
      <c r="B227" s="114" t="str">
        <f>VLOOKUP(A227,'Data pick slip'!B:F,5,FALSE)</f>
        <v>KHJ-MC500-00</v>
      </c>
      <c r="D227" s="156"/>
      <c r="E227" s="160" t="s">
        <v>404</v>
      </c>
      <c r="F227" s="157" t="s">
        <v>290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261</v>
      </c>
      <c r="B228" s="114" t="str">
        <f>VLOOKUP(A228,'Data pick slip'!B:F,5,FALSE)</f>
        <v>KHJ-MC100-00</v>
      </c>
      <c r="C228" s="156">
        <v>109721</v>
      </c>
      <c r="D228" s="156" t="e">
        <f>VLOOKUP(C228,Stock_list!D:L,2,FALSE)</f>
        <v>#N/A</v>
      </c>
      <c r="E228" s="160" t="e">
        <f>VLOOKUP(C228,Stock_list!D:L,9,FALSE)</f>
        <v>#N/A</v>
      </c>
      <c r="F228" s="157" t="s">
        <v>379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261</v>
      </c>
      <c r="B229" s="114" t="str">
        <f>VLOOKUP(A229,'Data pick slip'!B:F,5,FALSE)</f>
        <v>KHJ-MC100-00</v>
      </c>
      <c r="C229" s="156">
        <v>109723</v>
      </c>
      <c r="D229" s="156" t="e">
        <f>VLOOKUP(C229,Stock_list!D:L,2,FALSE)</f>
        <v>#N/A</v>
      </c>
      <c r="E229" s="160" t="e">
        <f>VLOOKUP(C229,Stock_list!D:L,9,FALSE)</f>
        <v>#N/A</v>
      </c>
      <c r="F229" s="157" t="s">
        <v>379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264</v>
      </c>
      <c r="B230" s="114" t="str">
        <f>VLOOKUP(A230,'Data pick slip'!B:F,5,FALSE)</f>
        <v>KHJ-MC200-00</v>
      </c>
      <c r="C230" s="156">
        <v>109723</v>
      </c>
      <c r="D230" s="156" t="e">
        <f>VLOOKUP(C230,Stock_list!D:L,2,FALSE)</f>
        <v>#N/A</v>
      </c>
      <c r="E230" s="160" t="e">
        <f>VLOOKUP(C230,Stock_list!D:L,9,FALSE)</f>
        <v>#N/A</v>
      </c>
      <c r="F230" s="157" t="s">
        <v>379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265</v>
      </c>
      <c r="B231" s="114" t="str">
        <f>VLOOKUP(A231,'Data pick slip'!B:F,5,FALSE)</f>
        <v>KHJ-MC400-00</v>
      </c>
      <c r="C231" s="156">
        <v>109723</v>
      </c>
      <c r="D231" s="156" t="e">
        <f>VLOOKUP(C231,Stock_list!D:L,2,FALSE)</f>
        <v>#N/A</v>
      </c>
      <c r="E231" s="160" t="e">
        <f>VLOOKUP(C231,Stock_list!D:L,9,FALSE)</f>
        <v>#N/A</v>
      </c>
      <c r="F231" s="157" t="s">
        <v>379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266</v>
      </c>
      <c r="B232" s="114" t="str">
        <f>VLOOKUP(A232,'Data pick slip'!B:F,5,FALSE)</f>
        <v>KHJ-MC500-00</v>
      </c>
      <c r="C232" s="156">
        <v>109723</v>
      </c>
      <c r="D232" s="156" t="e">
        <f>VLOOKUP(C232,Stock_list!D:L,2,FALSE)</f>
        <v>#N/A</v>
      </c>
      <c r="E232" s="160" t="e">
        <f>VLOOKUP(C232,Stock_list!D:L,9,FALSE)</f>
        <v>#N/A</v>
      </c>
      <c r="F232" s="157" t="s">
        <v>379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264</v>
      </c>
      <c r="B233" s="114" t="str">
        <f>VLOOKUP(A233,'Data pick slip'!B:F,5,FALSE)</f>
        <v>KHJ-MC200-00</v>
      </c>
      <c r="C233" s="161"/>
      <c r="D233" s="161"/>
      <c r="E233" s="302" t="s">
        <v>405</v>
      </c>
      <c r="F233" s="162" t="s">
        <v>290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264</v>
      </c>
      <c r="B234" s="114" t="str">
        <f>VLOOKUP(A234,'Data pick slip'!B:F,5,FALSE)</f>
        <v>KHJ-MC200-00</v>
      </c>
      <c r="D234" s="156"/>
      <c r="E234" s="160" t="s">
        <v>406</v>
      </c>
      <c r="F234" s="157" t="s">
        <v>290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272</v>
      </c>
      <c r="B235" s="114" t="str">
        <f>VLOOKUP(A235,'Data pick slip'!B:F,5,FALSE)</f>
        <v>KLJ-MC100-00</v>
      </c>
      <c r="C235" s="156">
        <v>109730</v>
      </c>
      <c r="D235" s="156" t="e">
        <f>VLOOKUP(C235,Stock_list!D:L,2,FALSE)</f>
        <v>#N/A</v>
      </c>
      <c r="E235" s="160" t="e">
        <f>VLOOKUP(C235,Stock_list!D:L,9,FALSE)</f>
        <v>#N/A</v>
      </c>
      <c r="F235" s="157" t="s">
        <v>379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273</v>
      </c>
      <c r="B236" s="114" t="str">
        <f>VLOOKUP(A236,'Data pick slip'!B:F,5,FALSE)</f>
        <v>KLJ-MC200-00</v>
      </c>
      <c r="C236" s="156">
        <v>109730</v>
      </c>
      <c r="D236" s="156" t="e">
        <f>VLOOKUP(C236,Stock_list!D:L,2,FALSE)</f>
        <v>#N/A</v>
      </c>
      <c r="E236" s="160" t="e">
        <f>VLOOKUP(C236,Stock_list!D:L,9,FALSE)</f>
        <v>#N/A</v>
      </c>
      <c r="F236" s="157" t="s">
        <v>379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274</v>
      </c>
      <c r="B237" s="114" t="str">
        <f>VLOOKUP(A237,'Data pick slip'!B:F,5,FALSE)</f>
        <v>KLJ-MC400-00</v>
      </c>
      <c r="C237" s="156">
        <v>109730</v>
      </c>
      <c r="D237" s="156" t="e">
        <f>VLOOKUP(C237,Stock_list!D:L,2,FALSE)</f>
        <v>#N/A</v>
      </c>
      <c r="E237" s="160" t="e">
        <f>VLOOKUP(C237,Stock_list!D:L,9,FALSE)</f>
        <v>#N/A</v>
      </c>
      <c r="F237" s="157" t="s">
        <v>379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</v>
      </c>
      <c r="B238" s="114" t="str">
        <f>VLOOKUP(A238,'Data pick slip'!B:F,5,FALSE)</f>
        <v>KLJ-MC500-00</v>
      </c>
      <c r="C238" s="156">
        <v>109730</v>
      </c>
      <c r="D238" s="156" t="e">
        <f>VLOOKUP(C238,Stock_list!D:L,2,FALSE)</f>
        <v>#N/A</v>
      </c>
      <c r="E238" s="160" t="e">
        <f>VLOOKUP(C238,Stock_list!D:L,9,FALSE)</f>
        <v>#N/A</v>
      </c>
      <c r="F238" s="157" t="s">
        <v>379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276</v>
      </c>
      <c r="B239" s="114" t="str">
        <f>VLOOKUP(A239,'Data pick slip'!B:F,5,FALSE)</f>
        <v>KLJ-MC600-00</v>
      </c>
      <c r="C239" s="156">
        <v>109730</v>
      </c>
      <c r="D239" s="156" t="e">
        <f>VLOOKUP(C239,Stock_list!D:L,2,FALSE)</f>
        <v>#N/A</v>
      </c>
      <c r="E239" s="160" t="e">
        <f>VLOOKUP(C239,Stock_list!D:L,9,FALSE)</f>
        <v>#N/A</v>
      </c>
      <c r="F239" s="157" t="s">
        <v>379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277</v>
      </c>
      <c r="B240" s="114" t="str">
        <f>VLOOKUP(A240,'Data pick slip'!B:F,5,FALSE)</f>
        <v>KLJ-MC700-00</v>
      </c>
      <c r="C240" s="156">
        <v>109730</v>
      </c>
      <c r="D240" s="156" t="e">
        <f>VLOOKUP(C240,Stock_list!D:L,2,FALSE)</f>
        <v>#N/A</v>
      </c>
      <c r="E240" s="160" t="e">
        <f>VLOOKUP(C240,Stock_list!D:L,9,FALSE)</f>
        <v>#N/A</v>
      </c>
      <c r="F240" s="157" t="s">
        <v>379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264</v>
      </c>
      <c r="B241" s="114" t="str">
        <f>VLOOKUP(A241,'Data pick slip'!B:F,5,FALSE)</f>
        <v>KHJ-MC200-00</v>
      </c>
      <c r="D241" s="156"/>
      <c r="E241" s="160" t="s">
        <v>407</v>
      </c>
      <c r="F241" s="157" t="s">
        <v>290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261</v>
      </c>
      <c r="B242" s="114" t="str">
        <f>VLOOKUP(A242,'Data pick slip'!B:F,5,FALSE)</f>
        <v>KHJ-MC100-00</v>
      </c>
      <c r="D242" s="156"/>
      <c r="E242" s="160" t="s">
        <v>408</v>
      </c>
      <c r="F242" s="157" t="s">
        <v>290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264</v>
      </c>
      <c r="B243" s="114" t="str">
        <f>VLOOKUP(A243,'Data pick slip'!B:F,5,FALSE)</f>
        <v>KHJ-MC200-00</v>
      </c>
      <c r="D243" s="156"/>
      <c r="E243" s="160" t="s">
        <v>408</v>
      </c>
      <c r="F243" s="157" t="s">
        <v>290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261</v>
      </c>
      <c r="B244" s="114" t="str">
        <f>VLOOKUP(A244,'Data pick slip'!B:F,5,FALSE)</f>
        <v>KHJ-MC100-00</v>
      </c>
      <c r="D244" s="156"/>
      <c r="E244" s="160" t="s">
        <v>409</v>
      </c>
      <c r="F244" s="157" t="s">
        <v>290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264</v>
      </c>
      <c r="B245" s="114" t="str">
        <f>VLOOKUP(A245,'Data pick slip'!B:F,5,FALSE)</f>
        <v>KHJ-MC200-00</v>
      </c>
      <c r="D245" s="156"/>
      <c r="E245" s="160" t="s">
        <v>409</v>
      </c>
      <c r="F245" s="157" t="s">
        <v>290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261</v>
      </c>
      <c r="B246" s="114" t="str">
        <f>VLOOKUP(A246,'Data pick slip'!B:F,5,FALSE)</f>
        <v>KHJ-MC100-00</v>
      </c>
      <c r="C246" s="156">
        <v>109749</v>
      </c>
      <c r="D246" s="156" t="e">
        <f>VLOOKUP(C246,Stock_list!D:L,2,FALSE)</f>
        <v>#N/A</v>
      </c>
      <c r="E246" s="160" t="e">
        <f>VLOOKUP(C246,Stock_list!D:L,9,FALSE)</f>
        <v>#N/A</v>
      </c>
      <c r="F246" s="157" t="s">
        <v>379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264</v>
      </c>
      <c r="B247" s="114" t="str">
        <f>VLOOKUP(A247,'Data pick slip'!B:F,5,FALSE)</f>
        <v>KHJ-MC200-00</v>
      </c>
      <c r="C247" s="156">
        <v>109749</v>
      </c>
      <c r="D247" s="156" t="e">
        <f>VLOOKUP(C247,Stock_list!D:L,2,FALSE)</f>
        <v>#N/A</v>
      </c>
      <c r="E247" s="160" t="e">
        <f>VLOOKUP(C247,Stock_list!D:L,9,FALSE)</f>
        <v>#N/A</v>
      </c>
      <c r="F247" s="157" t="s">
        <v>379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265</v>
      </c>
      <c r="B248" s="114" t="str">
        <f>VLOOKUP(A248,'Data pick slip'!B:F,5,FALSE)</f>
        <v>KHJ-MC400-00</v>
      </c>
      <c r="C248" s="156">
        <v>109749</v>
      </c>
      <c r="D248" s="156" t="e">
        <f>VLOOKUP(C248,Stock_list!D:L,2,FALSE)</f>
        <v>#N/A</v>
      </c>
      <c r="E248" s="160" t="e">
        <f>VLOOKUP(C248,Stock_list!D:L,9,FALSE)</f>
        <v>#N/A</v>
      </c>
      <c r="F248" s="157" t="s">
        <v>379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266</v>
      </c>
      <c r="B249" s="114" t="str">
        <f>VLOOKUP(A249,'Data pick slip'!B:F,5,FALSE)</f>
        <v>KHJ-MC500-00</v>
      </c>
      <c r="C249" s="156">
        <v>109749</v>
      </c>
      <c r="D249" s="156" t="e">
        <f>VLOOKUP(C249,Stock_list!D:L,2,FALSE)</f>
        <v>#N/A</v>
      </c>
      <c r="E249" s="160" t="e">
        <f>VLOOKUP(C249,Stock_list!D:L,9,FALSE)</f>
        <v>#N/A</v>
      </c>
      <c r="F249" s="157" t="s">
        <v>379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267</v>
      </c>
      <c r="B250" s="114" t="str">
        <f>VLOOKUP(A250,'Data pick slip'!B:F,5,FALSE)</f>
        <v>KHJ-MC600-00</v>
      </c>
      <c r="C250" s="156">
        <v>109749</v>
      </c>
      <c r="D250" s="156" t="e">
        <f>VLOOKUP(C250,Stock_list!D:L,2,FALSE)</f>
        <v>#N/A</v>
      </c>
      <c r="E250" s="160" t="e">
        <f>VLOOKUP(C250,Stock_list!D:L,9,FALSE)</f>
        <v>#N/A</v>
      </c>
      <c r="F250" s="157" t="s">
        <v>379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261</v>
      </c>
      <c r="B251" s="114" t="str">
        <f>VLOOKUP(A251,'Data pick slip'!B:F,5,FALSE)</f>
        <v>KHJ-MC100-00</v>
      </c>
      <c r="C251" s="156">
        <v>109750</v>
      </c>
      <c r="D251" s="156" t="e">
        <f>VLOOKUP(C251,Stock_list!D:L,2,FALSE)</f>
        <v>#N/A</v>
      </c>
      <c r="E251" s="160" t="e">
        <f>VLOOKUP(C251,Stock_list!D:L,9,FALSE)</f>
        <v>#N/A</v>
      </c>
      <c r="F251" s="157" t="s">
        <v>379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264</v>
      </c>
      <c r="B252" s="114" t="str">
        <f>VLOOKUP(A252,'Data pick slip'!B:F,5,FALSE)</f>
        <v>KHJ-MC200-00</v>
      </c>
      <c r="C252" s="156">
        <v>109750</v>
      </c>
      <c r="D252" s="156" t="e">
        <f>VLOOKUP(C252,Stock_list!D:L,2,FALSE)</f>
        <v>#N/A</v>
      </c>
      <c r="E252" s="160" t="e">
        <f>VLOOKUP(C252,Stock_list!D:L,9,FALSE)</f>
        <v>#N/A</v>
      </c>
      <c r="F252" s="157" t="s">
        <v>379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294</v>
      </c>
      <c r="B253" s="114" t="str">
        <f>VLOOKUP(A253,'Data pick slip'!B:F,5,FALSE)</f>
        <v>KHJ-MC400-00</v>
      </c>
      <c r="C253" s="156">
        <v>109750</v>
      </c>
      <c r="D253" s="156" t="e">
        <f>VLOOKUP(C253,Stock_list!D:L,2,FALSE)</f>
        <v>#N/A</v>
      </c>
      <c r="E253" s="160" t="e">
        <f>VLOOKUP(C253,Stock_list!D:L,9,FALSE)</f>
        <v>#N/A</v>
      </c>
      <c r="F253" s="157" t="s">
        <v>379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261</v>
      </c>
      <c r="B254" s="114" t="str">
        <f>VLOOKUP(A254,'Data pick slip'!B:F,5,FALSE)</f>
        <v>KHJ-MC100-00</v>
      </c>
      <c r="C254" s="156">
        <v>109762</v>
      </c>
      <c r="D254" s="156" t="e">
        <f>VLOOKUP(C254,Stock_list!D:L,2,FALSE)</f>
        <v>#N/A</v>
      </c>
      <c r="E254" s="160" t="e">
        <f>VLOOKUP(C254,Stock_list!D:L,9,FALSE)</f>
        <v>#N/A</v>
      </c>
      <c r="F254" s="157" t="s">
        <v>379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264</v>
      </c>
      <c r="B255" s="114" t="str">
        <f>VLOOKUP(A255,'Data pick slip'!B:F,5,FALSE)</f>
        <v>KHJ-MC200-00</v>
      </c>
      <c r="C255" s="156">
        <v>109762</v>
      </c>
      <c r="D255" s="156" t="e">
        <f>VLOOKUP(C255,Stock_list!D:L,2,FALSE)</f>
        <v>#N/A</v>
      </c>
      <c r="E255" s="160" t="e">
        <f>VLOOKUP(C255,Stock_list!D:L,9,FALSE)</f>
        <v>#N/A</v>
      </c>
      <c r="F255" s="157" t="s">
        <v>379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265</v>
      </c>
      <c r="B256" s="114" t="str">
        <f>VLOOKUP(A256,'Data pick slip'!B:F,5,FALSE)</f>
        <v>KHJ-MC400-00</v>
      </c>
      <c r="C256" s="156">
        <v>109762</v>
      </c>
      <c r="D256" s="156" t="e">
        <f>VLOOKUP(C256,Stock_list!D:L,2,FALSE)</f>
        <v>#N/A</v>
      </c>
      <c r="E256" s="160" t="e">
        <f>VLOOKUP(C256,Stock_list!D:L,9,FALSE)</f>
        <v>#N/A</v>
      </c>
      <c r="F256" s="157" t="s">
        <v>379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266</v>
      </c>
      <c r="B257" s="114" t="str">
        <f>VLOOKUP(A257,'Data pick slip'!B:F,5,FALSE)</f>
        <v>KHJ-MC500-00</v>
      </c>
      <c r="C257" s="156">
        <v>109762</v>
      </c>
      <c r="D257" s="156" t="e">
        <f>VLOOKUP(C257,Stock_list!D:L,2,FALSE)</f>
        <v>#N/A</v>
      </c>
      <c r="E257" s="160" t="e">
        <f>VLOOKUP(C257,Stock_list!D:L,9,FALSE)</f>
        <v>#N/A</v>
      </c>
      <c r="F257" s="157" t="s">
        <v>379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261</v>
      </c>
      <c r="B258" s="114" t="str">
        <f>VLOOKUP(A258,'Data pick slip'!B:F,5,FALSE)</f>
        <v>KHJ-MC100-00</v>
      </c>
      <c r="D258" s="156"/>
      <c r="E258" s="160" t="s">
        <v>410</v>
      </c>
      <c r="F258" s="157" t="s">
        <v>290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264</v>
      </c>
      <c r="B259" s="114" t="str">
        <f>VLOOKUP(A259,'Data pick slip'!B:F,5,FALSE)</f>
        <v>KHJ-MC200-00</v>
      </c>
      <c r="D259" s="156"/>
      <c r="E259" s="160" t="s">
        <v>410</v>
      </c>
      <c r="F259" s="157" t="s">
        <v>290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265</v>
      </c>
      <c r="B260" s="114" t="str">
        <f>VLOOKUP(A260,'Data pick slip'!B:F,5,FALSE)</f>
        <v>KHJ-MC400-00</v>
      </c>
      <c r="D260" s="156"/>
      <c r="E260" s="160" t="s">
        <v>410</v>
      </c>
      <c r="F260" s="157" t="s">
        <v>290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266</v>
      </c>
      <c r="B261" s="114" t="str">
        <f>VLOOKUP(A261,'Data pick slip'!B:F,5,FALSE)</f>
        <v>KHJ-MC500-00</v>
      </c>
      <c r="D261" s="156"/>
      <c r="E261" s="160" t="s">
        <v>410</v>
      </c>
      <c r="F261" s="157" t="s">
        <v>290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261</v>
      </c>
      <c r="B262" s="114" t="str">
        <f>VLOOKUP(A262,'Data pick slip'!B:F,5,FALSE)</f>
        <v>KHJ-MC100-00</v>
      </c>
      <c r="C262" s="156">
        <v>109774</v>
      </c>
      <c r="D262" s="156" t="e">
        <f>VLOOKUP(C262,Stock_list!D:L,2,FALSE)</f>
        <v>#N/A</v>
      </c>
      <c r="E262" s="160" t="e">
        <f>VLOOKUP(C262,Stock_list!D:L,9,FALSE)</f>
        <v>#N/A</v>
      </c>
      <c r="F262" s="157" t="s">
        <v>379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264</v>
      </c>
      <c r="B263" s="114" t="str">
        <f>VLOOKUP(A263,'Data pick slip'!B:F,5,FALSE)</f>
        <v>KHJ-MC200-00</v>
      </c>
      <c r="D263" s="156"/>
      <c r="E263" s="160" t="s">
        <v>411</v>
      </c>
      <c r="F263" s="157" t="s">
        <v>290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273</v>
      </c>
      <c r="B264" s="114" t="str">
        <f>VLOOKUP(A264,'Data pick slip'!B:F,5,FALSE)</f>
        <v>KLJ-MC200-00</v>
      </c>
      <c r="D264" s="156"/>
      <c r="E264" s="160" t="s">
        <v>411</v>
      </c>
      <c r="F264" s="157" t="s">
        <v>290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261</v>
      </c>
      <c r="B265" s="114" t="str">
        <f>VLOOKUP(A265,'Data pick slip'!B:F,5,FALSE)</f>
        <v>KHJ-MC100-00</v>
      </c>
      <c r="C265" s="156">
        <v>109714</v>
      </c>
      <c r="D265" s="156" t="e">
        <f>VLOOKUP(C265,Stock_list!D:L,2,FALSE)</f>
        <v>#N/A</v>
      </c>
      <c r="E265" s="160" t="e">
        <f>VLOOKUP(C265,Stock_list!D:L,9,FALSE)</f>
        <v>#N/A</v>
      </c>
      <c r="F265" s="157" t="s">
        <v>379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264</v>
      </c>
      <c r="B266" s="114" t="str">
        <f>VLOOKUP(A266,'Data pick slip'!B:F,5,FALSE)</f>
        <v>KHJ-MC200-00</v>
      </c>
      <c r="C266" s="156">
        <v>109714</v>
      </c>
      <c r="D266" s="156" t="e">
        <f>VLOOKUP(C266,Stock_list!D:L,2,FALSE)</f>
        <v>#N/A</v>
      </c>
      <c r="E266" s="160" t="e">
        <f>VLOOKUP(C266,Stock_list!D:L,9,FALSE)</f>
        <v>#N/A</v>
      </c>
      <c r="F266" s="157" t="s">
        <v>379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265</v>
      </c>
      <c r="B267" s="114" t="str">
        <f>VLOOKUP(A267,'Data pick slip'!B:F,5,FALSE)</f>
        <v>KHJ-MC400-00</v>
      </c>
      <c r="C267" s="156">
        <v>109714</v>
      </c>
      <c r="D267" s="156" t="e">
        <f>VLOOKUP(C267,Stock_list!D:L,2,FALSE)</f>
        <v>#N/A</v>
      </c>
      <c r="E267" s="160" t="e">
        <f>VLOOKUP(C267,Stock_list!D:L,9,FALSE)</f>
        <v>#N/A</v>
      </c>
      <c r="F267" s="157" t="s">
        <v>379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261</v>
      </c>
      <c r="B268" s="114" t="str">
        <f>VLOOKUP(A268,'Data pick slip'!B:F,5,FALSE)</f>
        <v>KHJ-MC100-00</v>
      </c>
      <c r="C268" s="156">
        <v>109783</v>
      </c>
      <c r="D268" s="156" t="e">
        <f>VLOOKUP(C268,Stock_list!D:L,2,FALSE)</f>
        <v>#N/A</v>
      </c>
      <c r="E268" s="160" t="e">
        <f>VLOOKUP(C268,Stock_list!D:L,9,FALSE)</f>
        <v>#N/A</v>
      </c>
      <c r="F268" s="157" t="s">
        <v>379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264</v>
      </c>
      <c r="B269" s="114" t="str">
        <f>VLOOKUP(A269,'Data pick slip'!B:F,5,FALSE)</f>
        <v>KHJ-MC200-00</v>
      </c>
      <c r="C269" s="156">
        <v>109783</v>
      </c>
      <c r="D269" s="156" t="e">
        <f>VLOOKUP(C269,Stock_list!D:L,2,FALSE)</f>
        <v>#N/A</v>
      </c>
      <c r="E269" s="160" t="e">
        <f>VLOOKUP(C269,Stock_list!D:L,9,FALSE)</f>
        <v>#N/A</v>
      </c>
      <c r="F269" s="157" t="s">
        <v>379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265</v>
      </c>
      <c r="B270" s="114" t="str">
        <f>VLOOKUP(A270,'Data pick slip'!B:F,5,FALSE)</f>
        <v>KHJ-MC400-00</v>
      </c>
      <c r="C270" s="156">
        <v>109783</v>
      </c>
      <c r="D270" s="156" t="e">
        <f>VLOOKUP(C270,Stock_list!D:L,2,FALSE)</f>
        <v>#N/A</v>
      </c>
      <c r="E270" s="160" t="e">
        <f>VLOOKUP(C270,Stock_list!D:L,9,FALSE)</f>
        <v>#N/A</v>
      </c>
      <c r="F270" s="157" t="s">
        <v>379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266</v>
      </c>
      <c r="B271" s="114" t="str">
        <f>VLOOKUP(A271,'Data pick slip'!B:F,5,FALSE)</f>
        <v>KHJ-MC500-00</v>
      </c>
      <c r="C271" s="156">
        <v>109783</v>
      </c>
      <c r="D271" s="156" t="e">
        <f>VLOOKUP(C271,Stock_list!D:L,2,FALSE)</f>
        <v>#N/A</v>
      </c>
      <c r="E271" s="160" t="e">
        <f>VLOOKUP(C271,Stock_list!D:L,9,FALSE)</f>
        <v>#N/A</v>
      </c>
      <c r="F271" s="157" t="s">
        <v>379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267</v>
      </c>
      <c r="B272" s="114" t="str">
        <f>VLOOKUP(A272,'Data pick slip'!B:F,5,FALSE)</f>
        <v>KHJ-MC600-00</v>
      </c>
      <c r="C272" s="156">
        <v>109783</v>
      </c>
      <c r="D272" s="156" t="e">
        <f>VLOOKUP(C272,Stock_list!D:L,2,FALSE)</f>
        <v>#N/A</v>
      </c>
      <c r="E272" s="160" t="e">
        <f>VLOOKUP(C272,Stock_list!D:L,9,FALSE)</f>
        <v>#N/A</v>
      </c>
      <c r="F272" s="157" t="s">
        <v>379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268</v>
      </c>
      <c r="B273" s="114" t="str">
        <f>VLOOKUP(A273,'Data pick slip'!B:F,5,FALSE)</f>
        <v>KHJ-MC700-00</v>
      </c>
      <c r="C273" s="156">
        <v>109783</v>
      </c>
      <c r="D273" s="156" t="e">
        <f>VLOOKUP(C273,Stock_list!D:L,2,FALSE)</f>
        <v>#N/A</v>
      </c>
      <c r="E273" s="160" t="e">
        <f>VLOOKUP(C273,Stock_list!D:L,9,FALSE)</f>
        <v>#N/A</v>
      </c>
      <c r="F273" s="157" t="s">
        <v>379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272</v>
      </c>
      <c r="B274" s="114" t="str">
        <f>VLOOKUP(A274,'Data pick slip'!B:F,5,FALSE)</f>
        <v>KLJ-MC100-00</v>
      </c>
      <c r="C274" s="156">
        <v>109793</v>
      </c>
      <c r="D274" s="156" t="e">
        <f>VLOOKUP(C274,Stock_list!D:L,2,FALSE)</f>
        <v>#N/A</v>
      </c>
      <c r="E274" s="160" t="e">
        <f>VLOOKUP(C274,Stock_list!D:L,9,FALSE)</f>
        <v>#N/A</v>
      </c>
      <c r="F274" s="157" t="s">
        <v>379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273</v>
      </c>
      <c r="B275" s="114" t="str">
        <f>VLOOKUP(A275,'Data pick slip'!B:F,5,FALSE)</f>
        <v>KLJ-MC200-00</v>
      </c>
      <c r="C275" s="156">
        <v>109793</v>
      </c>
      <c r="D275" s="156" t="e">
        <f>VLOOKUP(C275,Stock_list!D:L,2,FALSE)</f>
        <v>#N/A</v>
      </c>
      <c r="E275" s="160" t="e">
        <f>VLOOKUP(C275,Stock_list!D:L,9,FALSE)</f>
        <v>#N/A</v>
      </c>
      <c r="F275" s="157" t="s">
        <v>379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272</v>
      </c>
      <c r="B276" s="114" t="str">
        <f>VLOOKUP(A276,'Data pick slip'!B:F,5,FALSE)</f>
        <v>KLJ-MC100-00</v>
      </c>
      <c r="C276" s="156">
        <v>109794</v>
      </c>
      <c r="D276" s="156" t="e">
        <f>VLOOKUP(C276,Stock_list!D:L,2,FALSE)</f>
        <v>#N/A</v>
      </c>
      <c r="E276" s="160" t="e">
        <f>VLOOKUP(C276,Stock_list!D:L,9,FALSE)</f>
        <v>#N/A</v>
      </c>
      <c r="F276" s="157" t="s">
        <v>379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273</v>
      </c>
      <c r="B277" s="114" t="str">
        <f>VLOOKUP(A277,'Data pick slip'!B:F,5,FALSE)</f>
        <v>KLJ-MC200-00</v>
      </c>
      <c r="C277" s="156">
        <v>109794</v>
      </c>
      <c r="D277" s="156" t="e">
        <f>VLOOKUP(C277,Stock_list!D:L,2,FALSE)</f>
        <v>#N/A</v>
      </c>
      <c r="E277" s="160" t="e">
        <f>VLOOKUP(C277,Stock_list!D:L,9,FALSE)</f>
        <v>#N/A</v>
      </c>
      <c r="F277" s="157" t="s">
        <v>379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261</v>
      </c>
      <c r="B278" s="114" t="str">
        <f>VLOOKUP(A278,'Data pick slip'!B:F,5,FALSE)</f>
        <v>KHJ-MC100-00</v>
      </c>
      <c r="D278" s="156"/>
      <c r="E278" s="160" t="s">
        <v>412</v>
      </c>
      <c r="F278" s="157" t="s">
        <v>290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264</v>
      </c>
      <c r="B279" s="114" t="str">
        <f>VLOOKUP(A279,'Data pick slip'!B:F,5,FALSE)</f>
        <v>KHJ-MC200-00</v>
      </c>
      <c r="D279" s="156"/>
      <c r="E279" s="160" t="s">
        <v>412</v>
      </c>
      <c r="F279" s="157" t="s">
        <v>290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265</v>
      </c>
      <c r="B280" s="114" t="str">
        <f>VLOOKUP(A280,'Data pick slip'!B:F,5,FALSE)</f>
        <v>KHJ-MC400-00</v>
      </c>
      <c r="D280" s="156"/>
      <c r="E280" s="160" t="s">
        <v>412</v>
      </c>
      <c r="F280" s="157" t="s">
        <v>290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276</v>
      </c>
      <c r="B281" s="114" t="str">
        <f>VLOOKUP(A281,'Data pick slip'!B:F,5,FALSE)</f>
        <v>KLJ-MC600-00</v>
      </c>
      <c r="D281" s="156"/>
      <c r="E281" s="160" t="s">
        <v>412</v>
      </c>
      <c r="F281" s="157" t="s">
        <v>290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261</v>
      </c>
      <c r="B282" s="114" t="str">
        <f>VLOOKUP(A282,'Data pick slip'!B:F,5,FALSE)</f>
        <v>KHJ-MC100-00</v>
      </c>
      <c r="D282" s="156"/>
      <c r="E282" s="160" t="s">
        <v>413</v>
      </c>
      <c r="F282" s="157" t="s">
        <v>290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266</v>
      </c>
      <c r="B283" s="114" t="str">
        <f>VLOOKUP(A283,'Data pick slip'!B:F,5,FALSE)</f>
        <v>KHJ-MC500-00</v>
      </c>
      <c r="D283" s="156"/>
      <c r="E283" s="160" t="s">
        <v>413</v>
      </c>
      <c r="F283" s="157" t="s">
        <v>290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261</v>
      </c>
      <c r="B284" s="114" t="str">
        <f>VLOOKUP(A284,'Data pick slip'!B:F,5,FALSE)</f>
        <v>KHJ-MC100-00</v>
      </c>
      <c r="D284" s="156"/>
      <c r="E284" s="160" t="s">
        <v>414</v>
      </c>
      <c r="F284" s="157" t="s">
        <v>290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264</v>
      </c>
      <c r="B285" s="114" t="str">
        <f>VLOOKUP(A285,'Data pick slip'!B:F,5,FALSE)</f>
        <v>KHJ-MC200-00</v>
      </c>
      <c r="D285" s="156"/>
      <c r="E285" s="160" t="s">
        <v>414</v>
      </c>
      <c r="F285" s="157" t="s">
        <v>290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265</v>
      </c>
      <c r="B286" s="114" t="str">
        <f>VLOOKUP(A286,'Data pick slip'!B:F,5,FALSE)</f>
        <v>KHJ-MC400-00</v>
      </c>
      <c r="D286" s="156"/>
      <c r="E286" s="160" t="s">
        <v>414</v>
      </c>
      <c r="F286" s="157" t="s">
        <v>290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261</v>
      </c>
      <c r="B287" s="114" t="str">
        <f>VLOOKUP(A287,'Data pick slip'!B:F,5,FALSE)</f>
        <v>KHJ-MC100-00</v>
      </c>
      <c r="D287" s="156"/>
      <c r="E287" s="160" t="s">
        <v>415</v>
      </c>
      <c r="F287" s="157" t="s">
        <v>290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264</v>
      </c>
      <c r="B288" s="114" t="str">
        <f>VLOOKUP(A288,'Data pick slip'!B:F,5,FALSE)</f>
        <v>KHJ-MC200-00</v>
      </c>
      <c r="D288" s="156"/>
      <c r="E288" s="160" t="s">
        <v>415</v>
      </c>
      <c r="F288" s="157" t="s">
        <v>290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265</v>
      </c>
      <c r="B289" s="114" t="str">
        <f>VLOOKUP(A289,'Data pick slip'!B:F,5,FALSE)</f>
        <v>KHJ-MC400-00</v>
      </c>
      <c r="D289" s="156"/>
      <c r="E289" s="160" t="s">
        <v>415</v>
      </c>
      <c r="F289" s="157" t="s">
        <v>290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266</v>
      </c>
      <c r="B290" s="114" t="str">
        <f>VLOOKUP(A290,'Data pick slip'!B:F,5,FALSE)</f>
        <v>KHJ-MC500-00</v>
      </c>
      <c r="D290" s="156"/>
      <c r="E290" s="160" t="s">
        <v>415</v>
      </c>
      <c r="F290" s="157" t="s">
        <v>290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272</v>
      </c>
      <c r="B291" s="114" t="str">
        <f>VLOOKUP(A291,'Data pick slip'!B:F,5,FALSE)</f>
        <v>KLJ-MC100-00</v>
      </c>
      <c r="D291" s="156"/>
      <c r="E291" s="160" t="s">
        <v>416</v>
      </c>
      <c r="F291" s="157" t="s">
        <v>290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273</v>
      </c>
      <c r="B292" s="114" t="str">
        <f>VLOOKUP(A292,'Data pick slip'!B:F,5,FALSE)</f>
        <v>KLJ-MC200-00</v>
      </c>
      <c r="D292" s="156"/>
      <c r="E292" s="160" t="s">
        <v>416</v>
      </c>
      <c r="F292" s="157" t="s">
        <v>290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272</v>
      </c>
      <c r="B293" s="114" t="str">
        <f>VLOOKUP(A293,'Data pick slip'!B:F,5,FALSE)</f>
        <v>KLJ-MC100-00</v>
      </c>
      <c r="D293" s="156"/>
      <c r="E293" s="160" t="s">
        <v>415</v>
      </c>
      <c r="F293" s="157" t="s">
        <v>290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273</v>
      </c>
      <c r="B294" s="114" t="str">
        <f>VLOOKUP(A294,'Data pick slip'!B:F,5,FALSE)</f>
        <v>KLJ-MC200-00</v>
      </c>
      <c r="D294" s="156"/>
      <c r="E294" s="160" t="s">
        <v>415</v>
      </c>
      <c r="F294" s="157" t="s">
        <v>290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261</v>
      </c>
      <c r="B295" s="114" t="str">
        <f>VLOOKUP(A295,'Data pick slip'!B:F,5,FALSE)</f>
        <v>KHJ-MC100-00</v>
      </c>
      <c r="C295" s="156">
        <v>109889</v>
      </c>
      <c r="D295" s="156" t="e">
        <f>VLOOKUP(C295,Stock_list!D:L,2,FALSE)</f>
        <v>#N/A</v>
      </c>
      <c r="E295" s="160" t="e">
        <f>VLOOKUP(C295,Stock_list!D:L,9,FALSE)</f>
        <v>#N/A</v>
      </c>
      <c r="F295" s="157" t="s">
        <v>379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264</v>
      </c>
      <c r="B296" s="114" t="str">
        <f>VLOOKUP(A296,'Data pick slip'!B:F,5,FALSE)</f>
        <v>KHJ-MC200-00</v>
      </c>
      <c r="C296" s="156">
        <v>109889</v>
      </c>
      <c r="D296" s="156" t="e">
        <f>VLOOKUP(C296,Stock_list!D:L,2,FALSE)</f>
        <v>#N/A</v>
      </c>
      <c r="E296" s="160" t="e">
        <f>VLOOKUP(C296,Stock_list!D:L,9,FALSE)</f>
        <v>#N/A</v>
      </c>
      <c r="F296" s="157" t="s">
        <v>379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271</v>
      </c>
      <c r="B297" s="114" t="str">
        <f>VLOOKUP(A297,'Data pick slip'!B:F,5,FALSE)</f>
        <v>KLJ-MCN00-20</v>
      </c>
      <c r="C297" s="156">
        <v>109855</v>
      </c>
      <c r="D297" s="156" t="e">
        <f>VLOOKUP(C297,Stock_list!D:L,2,FALSE)</f>
        <v>#N/A</v>
      </c>
      <c r="E297" s="160" t="e">
        <f>VLOOKUP(C297,Stock_list!D:L,9,FALSE)</f>
        <v>#N/A</v>
      </c>
      <c r="F297" s="157" t="s">
        <v>379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261</v>
      </c>
      <c r="B298" s="114" t="str">
        <f>VLOOKUP(A298,'Data pick slip'!B:F,5,FALSE)</f>
        <v>KHJ-MC100-00</v>
      </c>
      <c r="C298" s="156">
        <v>109855</v>
      </c>
      <c r="D298" s="156" t="e">
        <f>VLOOKUP(C298,Stock_list!D:L,2,FALSE)</f>
        <v>#N/A</v>
      </c>
      <c r="E298" s="160" t="e">
        <f>VLOOKUP(C298,Stock_list!D:L,9,FALSE)</f>
        <v>#N/A</v>
      </c>
      <c r="F298" s="157" t="s">
        <v>379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264</v>
      </c>
      <c r="B299" s="114" t="str">
        <f>VLOOKUP(A299,'Data pick slip'!B:F,5,FALSE)</f>
        <v>KHJ-MC200-00</v>
      </c>
      <c r="C299" s="156">
        <v>109855</v>
      </c>
      <c r="D299" s="156" t="e">
        <f>VLOOKUP(C299,Stock_list!D:L,2,FALSE)</f>
        <v>#N/A</v>
      </c>
      <c r="E299" s="160" t="e">
        <f>VLOOKUP(C299,Stock_list!D:L,9,FALSE)</f>
        <v>#N/A</v>
      </c>
      <c r="F299" s="157" t="s">
        <v>379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265</v>
      </c>
      <c r="B300" s="114" t="str">
        <f>VLOOKUP(A300,'Data pick slip'!B:F,5,FALSE)</f>
        <v>KHJ-MC400-00</v>
      </c>
      <c r="C300" s="156">
        <v>109855</v>
      </c>
      <c r="D300" s="156" t="e">
        <f>VLOOKUP(C300,Stock_list!D:L,2,FALSE)</f>
        <v>#N/A</v>
      </c>
      <c r="E300" s="160" t="e">
        <f>VLOOKUP(C300,Stock_list!D:L,9,FALSE)</f>
        <v>#N/A</v>
      </c>
      <c r="F300" s="157" t="s">
        <v>379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267</v>
      </c>
      <c r="B301" s="114" t="str">
        <f>VLOOKUP(A301,'Data pick slip'!B:F,5,FALSE)</f>
        <v>KHJ-MC600-00</v>
      </c>
      <c r="C301" s="156">
        <v>109855</v>
      </c>
      <c r="D301" s="156" t="e">
        <f>VLOOKUP(C301,Stock_list!D:L,2,FALSE)</f>
        <v>#N/A</v>
      </c>
      <c r="E301" s="160" t="e">
        <f>VLOOKUP(C301,Stock_list!D:L,9,FALSE)</f>
        <v>#N/A</v>
      </c>
      <c r="F301" s="157" t="s">
        <v>379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261</v>
      </c>
      <c r="B302" s="114" t="str">
        <f>VLOOKUP(A302,'Data pick slip'!B:F,5,FALSE)</f>
        <v>KHJ-MC100-00</v>
      </c>
      <c r="D302" s="140"/>
      <c r="E302" s="160" t="s">
        <v>417</v>
      </c>
      <c r="F302" s="157" t="s">
        <v>290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264</v>
      </c>
      <c r="B303" s="114" t="str">
        <f>VLOOKUP(A303,'Data pick slip'!B:F,5,FALSE)</f>
        <v>KHJ-MC200-00</v>
      </c>
      <c r="D303" s="140"/>
      <c r="E303" s="160" t="s">
        <v>417</v>
      </c>
      <c r="F303" s="157" t="s">
        <v>290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265</v>
      </c>
      <c r="B304" s="114" t="str">
        <f>VLOOKUP(A304,'Data pick slip'!B:F,5,FALSE)</f>
        <v>KHJ-MC400-00</v>
      </c>
      <c r="D304" s="140"/>
      <c r="E304" s="160" t="s">
        <v>417</v>
      </c>
      <c r="F304" s="157" t="s">
        <v>290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261</v>
      </c>
      <c r="B305" s="114" t="str">
        <f>VLOOKUP(A305,'Data pick slip'!B:F,5,FALSE)</f>
        <v>KHJ-MC100-00</v>
      </c>
      <c r="C305" s="156">
        <v>109868</v>
      </c>
      <c r="D305" s="156" t="e">
        <f>VLOOKUP(C305,Stock_list!D:L,2,FALSE)</f>
        <v>#N/A</v>
      </c>
      <c r="E305" s="160" t="e">
        <f>VLOOKUP(C305,Stock_list!D:L,9,FALSE)</f>
        <v>#N/A</v>
      </c>
      <c r="F305" s="157" t="s">
        <v>379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264</v>
      </c>
      <c r="B306" s="114" t="str">
        <f>VLOOKUP(A306,'Data pick slip'!B:F,5,FALSE)</f>
        <v>KHJ-MC200-00</v>
      </c>
      <c r="C306" s="156">
        <v>109868</v>
      </c>
      <c r="D306" s="156" t="e">
        <f>VLOOKUP(C306,Stock_list!D:L,2,FALSE)</f>
        <v>#N/A</v>
      </c>
      <c r="E306" s="160" t="e">
        <f>VLOOKUP(C306,Stock_list!D:L,9,FALSE)</f>
        <v>#N/A</v>
      </c>
      <c r="F306" s="157" t="s">
        <v>379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265</v>
      </c>
      <c r="B307" s="114" t="str">
        <f>VLOOKUP(A307,'Data pick slip'!B:F,5,FALSE)</f>
        <v>KHJ-MC400-00</v>
      </c>
      <c r="C307" s="156">
        <v>109868</v>
      </c>
      <c r="D307" s="156" t="e">
        <f>VLOOKUP(C307,Stock_list!D:L,2,FALSE)</f>
        <v>#N/A</v>
      </c>
      <c r="E307" s="160" t="e">
        <f>VLOOKUP(C307,Stock_list!D:L,9,FALSE)</f>
        <v>#N/A</v>
      </c>
      <c r="F307" s="157" t="s">
        <v>379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267</v>
      </c>
      <c r="B308" s="114" t="str">
        <f>VLOOKUP(A308,'Data pick slip'!B:F,5,FALSE)</f>
        <v>KHJ-MC600-00</v>
      </c>
      <c r="C308" s="156">
        <v>109868</v>
      </c>
      <c r="D308" s="156" t="e">
        <f>VLOOKUP(C308,Stock_list!D:L,2,FALSE)</f>
        <v>#N/A</v>
      </c>
      <c r="E308" s="160" t="e">
        <f>VLOOKUP(C308,Stock_list!D:L,9,FALSE)</f>
        <v>#N/A</v>
      </c>
      <c r="F308" s="157" t="s">
        <v>379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261</v>
      </c>
      <c r="B309" s="114" t="str">
        <f>VLOOKUP(A309,'Data pick slip'!B:F,5,FALSE)</f>
        <v>KHJ-MC100-00</v>
      </c>
      <c r="C309" s="156">
        <v>109886</v>
      </c>
      <c r="D309" s="156" t="e">
        <f>VLOOKUP(C309,Stock_list!D:L,2,FALSE)</f>
        <v>#N/A</v>
      </c>
      <c r="E309" s="160" t="e">
        <f>VLOOKUP(C309,Stock_list!D:L,9,FALSE)</f>
        <v>#N/A</v>
      </c>
      <c r="F309" s="157" t="s">
        <v>379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264</v>
      </c>
      <c r="B310" s="114" t="str">
        <f>VLOOKUP(A310,'Data pick slip'!B:F,5,FALSE)</f>
        <v>KHJ-MC200-00</v>
      </c>
      <c r="C310" s="156">
        <v>109886</v>
      </c>
      <c r="D310" s="156" t="e">
        <f>VLOOKUP(C310,Stock_list!D:L,2,FALSE)</f>
        <v>#N/A</v>
      </c>
      <c r="E310" s="160" t="e">
        <f>VLOOKUP(C310,Stock_list!D:L,9,FALSE)</f>
        <v>#N/A</v>
      </c>
      <c r="F310" s="157" t="s">
        <v>379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265</v>
      </c>
      <c r="B311" s="114" t="str">
        <f>VLOOKUP(A311,'Data pick slip'!B:F,5,FALSE)</f>
        <v>KHJ-MC400-00</v>
      </c>
      <c r="C311" s="156">
        <v>109886</v>
      </c>
      <c r="D311" s="156" t="e">
        <f>VLOOKUP(C311,Stock_list!D:L,2,FALSE)</f>
        <v>#N/A</v>
      </c>
      <c r="E311" s="160" t="e">
        <f>VLOOKUP(C311,Stock_list!D:L,9,FALSE)</f>
        <v>#N/A</v>
      </c>
      <c r="F311" s="157" t="s">
        <v>379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266</v>
      </c>
      <c r="B312" s="114" t="str">
        <f>VLOOKUP(A312,'Data pick slip'!B:F,5,FALSE)</f>
        <v>KHJ-MC500-00</v>
      </c>
      <c r="C312" s="156">
        <v>109886</v>
      </c>
      <c r="D312" s="156" t="e">
        <f>VLOOKUP(C312,Stock_list!D:L,2,FALSE)</f>
        <v>#N/A</v>
      </c>
      <c r="E312" s="160" t="e">
        <f>VLOOKUP(C312,Stock_list!D:L,9,FALSE)</f>
        <v>#N/A</v>
      </c>
      <c r="F312" s="157" t="s">
        <v>379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267</v>
      </c>
      <c r="B313" s="114" t="str">
        <f>VLOOKUP(A313,'Data pick slip'!B:F,5,FALSE)</f>
        <v>KHJ-MC600-00</v>
      </c>
      <c r="C313" s="156">
        <v>109886</v>
      </c>
      <c r="D313" s="156" t="e">
        <f>VLOOKUP(C313,Stock_list!D:L,2,FALSE)</f>
        <v>#N/A</v>
      </c>
      <c r="E313" s="160" t="e">
        <f>VLOOKUP(C313,Stock_list!D:L,9,FALSE)</f>
        <v>#N/A</v>
      </c>
      <c r="F313" s="157" t="s">
        <v>379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261</v>
      </c>
      <c r="B314" s="114" t="str">
        <f>VLOOKUP(A314,'Data pick slip'!B:F,5,FALSE)</f>
        <v>KHJ-MC100-00</v>
      </c>
      <c r="D314" s="156"/>
      <c r="E314" s="302" t="s">
        <v>418</v>
      </c>
      <c r="F314" s="162" t="s">
        <v>290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261</v>
      </c>
      <c r="B315" s="114" t="str">
        <f>VLOOKUP(A315,'Data pick slip'!B:F,5,FALSE)</f>
        <v>KHJ-MC100-00</v>
      </c>
      <c r="D315" s="156"/>
      <c r="E315" s="160" t="s">
        <v>418</v>
      </c>
      <c r="F315" s="157" t="s">
        <v>290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264</v>
      </c>
      <c r="B316" s="114" t="str">
        <f>VLOOKUP(A316,'Data pick slip'!B:F,5,FALSE)</f>
        <v>KHJ-MC200-00</v>
      </c>
      <c r="D316" s="156"/>
      <c r="E316" s="160" t="s">
        <v>418</v>
      </c>
      <c r="F316" s="157" t="s">
        <v>290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265</v>
      </c>
      <c r="B317" s="114" t="str">
        <f>VLOOKUP(A317,'Data pick slip'!B:F,5,FALSE)</f>
        <v>KHJ-MC400-00</v>
      </c>
      <c r="D317" s="156"/>
      <c r="E317" s="160" t="s">
        <v>418</v>
      </c>
      <c r="F317" s="157" t="s">
        <v>290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266</v>
      </c>
      <c r="B318" s="114" t="str">
        <f>VLOOKUP(A318,'Data pick slip'!B:F,5,FALSE)</f>
        <v>KHJ-MC500-00</v>
      </c>
      <c r="D318" s="156"/>
      <c r="E318" s="160" t="s">
        <v>418</v>
      </c>
      <c r="F318" s="157" t="s">
        <v>290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267</v>
      </c>
      <c r="B319" s="114" t="str">
        <f>VLOOKUP(A319,'Data pick slip'!B:F,5,FALSE)</f>
        <v>KHJ-MC600-00</v>
      </c>
      <c r="D319" s="156"/>
      <c r="E319" s="160" t="s">
        <v>418</v>
      </c>
      <c r="F319" s="157" t="s">
        <v>290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261</v>
      </c>
      <c r="B320" s="114" t="str">
        <f>VLOOKUP(A320,'Data pick slip'!B:F,5,FALSE)</f>
        <v>KHJ-MC100-00</v>
      </c>
      <c r="C320" s="156">
        <v>109891</v>
      </c>
      <c r="D320" s="156" t="e">
        <f>VLOOKUP(C320,Stock_list!D:L,2,FALSE)</f>
        <v>#N/A</v>
      </c>
      <c r="E320" s="160" t="e">
        <f>VLOOKUP(C320,Stock_list!D:L,9,FALSE)</f>
        <v>#N/A</v>
      </c>
      <c r="F320" s="157" t="s">
        <v>379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264</v>
      </c>
      <c r="B321" s="114" t="str">
        <f>VLOOKUP(A321,'Data pick slip'!B:F,5,FALSE)</f>
        <v>KHJ-MC200-00</v>
      </c>
      <c r="C321" s="156">
        <v>109891</v>
      </c>
      <c r="D321" s="156" t="e">
        <f>VLOOKUP(C321,Stock_list!D:L,2,FALSE)</f>
        <v>#N/A</v>
      </c>
      <c r="E321" s="160" t="e">
        <f>VLOOKUP(C321,Stock_list!D:L,9,FALSE)</f>
        <v>#N/A</v>
      </c>
      <c r="F321" s="157" t="s">
        <v>379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265</v>
      </c>
      <c r="B322" s="114" t="str">
        <f>VLOOKUP(A322,'Data pick slip'!B:F,5,FALSE)</f>
        <v>KHJ-MC400-00</v>
      </c>
      <c r="C322" s="156">
        <v>109891</v>
      </c>
      <c r="D322" s="156" t="e">
        <f>VLOOKUP(C322,Stock_list!D:L,2,FALSE)</f>
        <v>#N/A</v>
      </c>
      <c r="E322" s="160" t="e">
        <f>VLOOKUP(C322,Stock_list!D:L,9,FALSE)</f>
        <v>#N/A</v>
      </c>
      <c r="F322" s="157" t="s">
        <v>379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266</v>
      </c>
      <c r="B323" s="114" t="str">
        <f>VLOOKUP(A323,'Data pick slip'!B:F,5,FALSE)</f>
        <v>KHJ-MC500-00</v>
      </c>
      <c r="C323" s="156">
        <v>109925</v>
      </c>
      <c r="D323" s="156" t="s">
        <v>419</v>
      </c>
      <c r="E323" s="160">
        <v>44004</v>
      </c>
      <c r="F323" s="157" t="s">
        <v>379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267</v>
      </c>
      <c r="B324" s="114" t="str">
        <f>VLOOKUP(A324,'Data pick slip'!B:F,5,FALSE)</f>
        <v>KHJ-MC600-00</v>
      </c>
      <c r="C324" s="156">
        <v>109891</v>
      </c>
      <c r="D324" s="156" t="e">
        <f>VLOOKUP(C324,Stock_list!D:L,2,FALSE)</f>
        <v>#N/A</v>
      </c>
      <c r="E324" s="160" t="e">
        <f>VLOOKUP(C324,Stock_list!D:L,9,FALSE)</f>
        <v>#N/A</v>
      </c>
      <c r="F324" s="157" t="s">
        <v>379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261</v>
      </c>
      <c r="B325" s="114" t="str">
        <f>VLOOKUP(A325,'Data pick slip'!B:F,5,FALSE)</f>
        <v>KHJ-MC100-00</v>
      </c>
      <c r="D325" s="156"/>
      <c r="E325" s="160" t="s">
        <v>420</v>
      </c>
      <c r="F325" s="157" t="s">
        <v>290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261</v>
      </c>
      <c r="B326" s="114" t="str">
        <f>VLOOKUP(A326,'Data pick slip'!B:F,5,FALSE)</f>
        <v>KHJ-MC100-00</v>
      </c>
      <c r="D326" s="156"/>
      <c r="E326" s="160" t="s">
        <v>421</v>
      </c>
      <c r="F326" s="157" t="s">
        <v>290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266</v>
      </c>
      <c r="B327" s="114" t="str">
        <f>VLOOKUP(A327,'Data pick slip'!B:F,5,FALSE)</f>
        <v>KHJ-MC500-00</v>
      </c>
      <c r="D327" s="156"/>
      <c r="E327" s="160" t="s">
        <v>421</v>
      </c>
      <c r="F327" s="157" t="s">
        <v>290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267</v>
      </c>
      <c r="B328" s="114" t="str">
        <f>VLOOKUP(A328,'Data pick slip'!B:F,5,FALSE)</f>
        <v>KHJ-MC600-00</v>
      </c>
      <c r="D328" s="156"/>
      <c r="E328" s="160" t="s">
        <v>421</v>
      </c>
      <c r="F328" s="157" t="s">
        <v>290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264</v>
      </c>
      <c r="B329" s="114" t="str">
        <f>VLOOKUP(A329,'Data pick slip'!B:F,5,FALSE)</f>
        <v>KHJ-MC200-00</v>
      </c>
      <c r="D329" s="156"/>
      <c r="E329" s="160" t="s">
        <v>422</v>
      </c>
      <c r="F329" s="157" t="s">
        <v>290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273</v>
      </c>
      <c r="B330" s="114" t="str">
        <f>VLOOKUP(A330,'Data pick slip'!B:F,5,FALSE)</f>
        <v>KLJ-MC200-00</v>
      </c>
      <c r="D330" s="156"/>
      <c r="E330" s="160" t="s">
        <v>422</v>
      </c>
      <c r="F330" s="157" t="s">
        <v>290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265</v>
      </c>
      <c r="B331" s="114" t="str">
        <f>VLOOKUP(A331,'Data pick slip'!B:F,5,FALSE)</f>
        <v>KHJ-MC400-00</v>
      </c>
      <c r="D331" s="156"/>
      <c r="E331" s="160" t="s">
        <v>422</v>
      </c>
      <c r="F331" s="157" t="s">
        <v>290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267</v>
      </c>
      <c r="B332" s="114" t="str">
        <f>VLOOKUP(A332,'Data pick slip'!B:F,5,FALSE)</f>
        <v>KHJ-MC600-00</v>
      </c>
      <c r="D332" s="156"/>
      <c r="E332" s="160" t="s">
        <v>422</v>
      </c>
      <c r="F332" s="157" t="s">
        <v>290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261</v>
      </c>
      <c r="B333" s="114" t="str">
        <f>VLOOKUP(A333,'Data pick slip'!B:F,5,FALSE)</f>
        <v>KHJ-MC100-00</v>
      </c>
      <c r="D333" s="156"/>
      <c r="E333" s="160" t="s">
        <v>423</v>
      </c>
      <c r="F333" s="157" t="s">
        <v>290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274</v>
      </c>
      <c r="B334" s="114" t="str">
        <f>VLOOKUP(A334,'Data pick slip'!B:F,5,FALSE)</f>
        <v>KLJ-MC400-00</v>
      </c>
      <c r="D334" s="156"/>
      <c r="E334" s="160" t="s">
        <v>423</v>
      </c>
      <c r="F334" s="157" t="s">
        <v>290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261</v>
      </c>
      <c r="B335" s="114" t="str">
        <f>VLOOKUP(A335,'Data pick slip'!B:F,5,FALSE)</f>
        <v>KHJ-MC100-00</v>
      </c>
      <c r="C335" s="164" t="s">
        <v>424</v>
      </c>
      <c r="D335" s="156" t="e">
        <f>VLOOKUP(C335,Stock_list!D:L,2,FALSE)</f>
        <v>#N/A</v>
      </c>
      <c r="E335" s="160" t="e">
        <f>VLOOKUP(C335,Stock_list!D:L,9,FALSE)</f>
        <v>#N/A</v>
      </c>
      <c r="F335" s="157" t="s">
        <v>379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264</v>
      </c>
      <c r="B336" s="114" t="str">
        <f>VLOOKUP(A336,'Data pick slip'!B:F,5,FALSE)</f>
        <v>KHJ-MC200-00</v>
      </c>
      <c r="C336" s="164" t="s">
        <v>424</v>
      </c>
      <c r="D336" s="156" t="e">
        <f>VLOOKUP(C336,Stock_list!D:L,2,FALSE)</f>
        <v>#N/A</v>
      </c>
      <c r="E336" s="160" t="e">
        <f>VLOOKUP(C336,Stock_list!D:L,9,FALSE)</f>
        <v>#N/A</v>
      </c>
      <c r="F336" s="157" t="s">
        <v>379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265</v>
      </c>
      <c r="B337" s="114" t="str">
        <f>VLOOKUP(A337,'Data pick slip'!B:F,5,FALSE)</f>
        <v>KHJ-MC400-00</v>
      </c>
      <c r="C337" s="164" t="s">
        <v>424</v>
      </c>
      <c r="D337" s="156" t="e">
        <f>VLOOKUP(C337,Stock_list!D:L,2,FALSE)</f>
        <v>#N/A</v>
      </c>
      <c r="E337" s="160" t="e">
        <f>VLOOKUP(C337,Stock_list!D:L,9,FALSE)</f>
        <v>#N/A</v>
      </c>
      <c r="F337" s="157" t="s">
        <v>379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266</v>
      </c>
      <c r="B338" s="114" t="str">
        <f>VLOOKUP(A338,'Data pick slip'!B:F,5,FALSE)</f>
        <v>KHJ-MC500-00</v>
      </c>
      <c r="C338" s="164" t="s">
        <v>424</v>
      </c>
      <c r="D338" s="156" t="e">
        <f>VLOOKUP(C338,Stock_list!D:L,2,FALSE)</f>
        <v>#N/A</v>
      </c>
      <c r="E338" s="160" t="e">
        <f>VLOOKUP(C338,Stock_list!D:L,9,FALSE)</f>
        <v>#N/A</v>
      </c>
      <c r="F338" s="157" t="s">
        <v>379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264</v>
      </c>
      <c r="B339" s="114" t="str">
        <f>VLOOKUP(A339,'Data pick slip'!B:F,5,FALSE)</f>
        <v>KHJ-MC200-00</v>
      </c>
      <c r="D339" s="156"/>
      <c r="E339" s="160" t="s">
        <v>425</v>
      </c>
      <c r="F339" s="157" t="s">
        <v>290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266</v>
      </c>
      <c r="B340" s="114" t="str">
        <f>VLOOKUP(A340,'Data pick slip'!B:F,5,FALSE)</f>
        <v>KHJ-MC500-00</v>
      </c>
      <c r="D340" s="156"/>
      <c r="E340" s="160" t="s">
        <v>425</v>
      </c>
      <c r="F340" s="157" t="s">
        <v>290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277</v>
      </c>
      <c r="B341" s="114" t="str">
        <f>VLOOKUP(A341,'Data pick slip'!B:F,5,FALSE)</f>
        <v>KLJ-MC700-00</v>
      </c>
      <c r="D341" s="156"/>
      <c r="E341" s="160" t="s">
        <v>425</v>
      </c>
      <c r="F341" s="157" t="s">
        <v>290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268</v>
      </c>
      <c r="B342" s="114" t="str">
        <f>VLOOKUP(A342,'Data pick slip'!B:F,5,FALSE)</f>
        <v>KHJ-MC700-00</v>
      </c>
      <c r="D342" s="156"/>
      <c r="E342" s="160" t="s">
        <v>425</v>
      </c>
      <c r="F342" s="157" t="s">
        <v>290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261</v>
      </c>
      <c r="B343" s="114" t="str">
        <f>VLOOKUP(A343,'Data pick slip'!B:F,5,FALSE)</f>
        <v>KHJ-MC100-00</v>
      </c>
      <c r="C343" s="156">
        <v>109924</v>
      </c>
      <c r="D343" s="156" t="e">
        <f>VLOOKUP(C343,Stock_list!D:L,2,FALSE)</f>
        <v>#N/A</v>
      </c>
      <c r="E343" s="160" t="e">
        <f>VLOOKUP(C343,Stock_list!D:L,9,FALSE)</f>
        <v>#N/A</v>
      </c>
      <c r="F343" s="157" t="s">
        <v>379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264</v>
      </c>
      <c r="B344" s="114" t="str">
        <f>VLOOKUP(A344,'Data pick slip'!B:F,5,FALSE)</f>
        <v>KHJ-MC200-00</v>
      </c>
      <c r="C344" s="156">
        <v>109924</v>
      </c>
      <c r="D344" s="156" t="e">
        <f>VLOOKUP(C344,Stock_list!D:L,2,FALSE)</f>
        <v>#N/A</v>
      </c>
      <c r="E344" s="160" t="e">
        <f>VLOOKUP(C344,Stock_list!D:L,9,FALSE)</f>
        <v>#N/A</v>
      </c>
      <c r="F344" s="157" t="s">
        <v>379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265</v>
      </c>
      <c r="B345" s="114" t="str">
        <f>VLOOKUP(A345,'Data pick slip'!B:F,5,FALSE)</f>
        <v>KHJ-MC400-00</v>
      </c>
      <c r="C345" s="156">
        <v>109924</v>
      </c>
      <c r="D345" s="156" t="e">
        <f>VLOOKUP(C345,Stock_list!D:L,2,FALSE)</f>
        <v>#N/A</v>
      </c>
      <c r="E345" s="160" t="e">
        <f>VLOOKUP(C345,Stock_list!D:L,9,FALSE)</f>
        <v>#N/A</v>
      </c>
      <c r="F345" s="157" t="s">
        <v>379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266</v>
      </c>
      <c r="B346" s="114" t="str">
        <f>VLOOKUP(A346,'Data pick slip'!B:F,5,FALSE)</f>
        <v>KHJ-MC500-00</v>
      </c>
      <c r="C346" s="156">
        <v>109924</v>
      </c>
      <c r="D346" s="156" t="e">
        <f>VLOOKUP(C346,Stock_list!D:L,2,FALSE)</f>
        <v>#N/A</v>
      </c>
      <c r="E346" s="160" t="e">
        <f>VLOOKUP(C346,Stock_list!D:L,9,FALSE)</f>
        <v>#N/A</v>
      </c>
      <c r="F346" s="157" t="s">
        <v>379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267</v>
      </c>
      <c r="B347" s="114" t="str">
        <f>VLOOKUP(A347,'Data pick slip'!B:F,5,FALSE)</f>
        <v>KHJ-MC600-00</v>
      </c>
      <c r="C347" s="156">
        <v>109924</v>
      </c>
      <c r="D347" s="156" t="e">
        <f>VLOOKUP(C347,Stock_list!D:L,2,FALSE)</f>
        <v>#N/A</v>
      </c>
      <c r="E347" s="160" t="e">
        <f>VLOOKUP(C347,Stock_list!D:L,9,FALSE)</f>
        <v>#N/A</v>
      </c>
      <c r="F347" s="157" t="s">
        <v>379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261</v>
      </c>
      <c r="B348" s="114" t="str">
        <f>VLOOKUP(A348,'Data pick slip'!B:F,5,FALSE)</f>
        <v>KHJ-MC100-00</v>
      </c>
      <c r="C348" s="156">
        <v>109933</v>
      </c>
      <c r="D348" s="156" t="e">
        <f>VLOOKUP(C348,Stock_list!D:L,2,FALSE)</f>
        <v>#N/A</v>
      </c>
      <c r="E348" s="160" t="e">
        <f>VLOOKUP(C348,Stock_list!D:L,9,FALSE)</f>
        <v>#N/A</v>
      </c>
      <c r="F348" s="157" t="s">
        <v>379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261</v>
      </c>
      <c r="B349" s="114" t="str">
        <f>VLOOKUP(A349,'Data pick slip'!B:F,5,FALSE)</f>
        <v>KHJ-MC100-00</v>
      </c>
      <c r="D349" s="156"/>
      <c r="E349" s="160" t="s">
        <v>426</v>
      </c>
      <c r="F349" s="157" t="s">
        <v>290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264</v>
      </c>
      <c r="B350" s="114" t="str">
        <f>VLOOKUP(A350,'Data pick slip'!B:F,5,FALSE)</f>
        <v>KHJ-MC200-00</v>
      </c>
      <c r="D350" s="156"/>
      <c r="E350" s="160" t="s">
        <v>426</v>
      </c>
      <c r="F350" s="157" t="s">
        <v>290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265</v>
      </c>
      <c r="B351" s="114" t="str">
        <f>VLOOKUP(A351,'Data pick slip'!B:F,5,FALSE)</f>
        <v>KHJ-MC400-00</v>
      </c>
      <c r="D351" s="156"/>
      <c r="E351" s="160" t="s">
        <v>426</v>
      </c>
      <c r="F351" s="157" t="s">
        <v>290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267</v>
      </c>
      <c r="B352" s="114" t="str">
        <f>VLOOKUP(A352,'Data pick slip'!B:F,5,FALSE)</f>
        <v>KHJ-MC600-00</v>
      </c>
      <c r="D352" s="156"/>
      <c r="E352" s="160" t="s">
        <v>426</v>
      </c>
      <c r="F352" s="157" t="s">
        <v>290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261</v>
      </c>
      <c r="B353" s="114" t="str">
        <f>VLOOKUP(A353,'Data pick slip'!B:F,5,FALSE)</f>
        <v>KHJ-MC100-00</v>
      </c>
      <c r="C353" s="156">
        <v>109954</v>
      </c>
      <c r="D353" s="156" t="e">
        <f>VLOOKUP(C353,Stock_list!D:L,2,FALSE)</f>
        <v>#N/A</v>
      </c>
      <c r="E353" s="160" t="e">
        <f>VLOOKUP(C353,Stock_list!D:L,9,FALSE)</f>
        <v>#N/A</v>
      </c>
      <c r="F353" s="157" t="s">
        <v>379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264</v>
      </c>
      <c r="B354" s="114" t="str">
        <f>VLOOKUP(A354,'Data pick slip'!B:F,5,FALSE)</f>
        <v>KHJ-MC200-00</v>
      </c>
      <c r="C354" s="156">
        <v>109954</v>
      </c>
      <c r="D354" s="156" t="e">
        <f>VLOOKUP(C354,Stock_list!D:L,2,FALSE)</f>
        <v>#N/A</v>
      </c>
      <c r="E354" s="160" t="e">
        <f>VLOOKUP(C354,Stock_list!D:L,9,FALSE)</f>
        <v>#N/A</v>
      </c>
      <c r="F354" s="157" t="s">
        <v>379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265</v>
      </c>
      <c r="B355" s="114" t="str">
        <f>VLOOKUP(A355,'Data pick slip'!B:F,5,FALSE)</f>
        <v>KHJ-MC400-00</v>
      </c>
      <c r="C355" s="156">
        <v>109954</v>
      </c>
      <c r="D355" s="156" t="e">
        <f>VLOOKUP(C355,Stock_list!D:L,2,FALSE)</f>
        <v>#N/A</v>
      </c>
      <c r="E355" s="160" t="e">
        <f>VLOOKUP(C355,Stock_list!D:L,9,FALSE)</f>
        <v>#N/A</v>
      </c>
      <c r="F355" s="157" t="s">
        <v>379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266</v>
      </c>
      <c r="B356" s="114" t="str">
        <f>VLOOKUP(A356,'Data pick slip'!B:F,5,FALSE)</f>
        <v>KHJ-MC500-00</v>
      </c>
      <c r="C356" s="156">
        <v>109954</v>
      </c>
      <c r="D356" s="156" t="e">
        <f>VLOOKUP(C356,Stock_list!D:L,2,FALSE)</f>
        <v>#N/A</v>
      </c>
      <c r="E356" s="160" t="e">
        <f>VLOOKUP(C356,Stock_list!D:L,9,FALSE)</f>
        <v>#N/A</v>
      </c>
      <c r="F356" s="157" t="s">
        <v>379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268</v>
      </c>
      <c r="B357" s="114" t="str">
        <f>VLOOKUP(A357,'Data pick slip'!B:F,5,FALSE)</f>
        <v>KHJ-MC700-00</v>
      </c>
      <c r="C357" s="156">
        <v>109954</v>
      </c>
      <c r="D357" s="156" t="e">
        <f>VLOOKUP(C357,Stock_list!D:L,2,FALSE)</f>
        <v>#N/A</v>
      </c>
      <c r="E357" s="160" t="e">
        <f>VLOOKUP(C357,Stock_list!D:L,9,FALSE)</f>
        <v>#N/A</v>
      </c>
      <c r="F357" s="157" t="s">
        <v>379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261</v>
      </c>
      <c r="B358" s="114" t="str">
        <f>VLOOKUP(A358,'Data pick slip'!B:F,5,FALSE)</f>
        <v>KHJ-MC100-00</v>
      </c>
      <c r="D358" s="156"/>
      <c r="E358" s="160" t="s">
        <v>427</v>
      </c>
      <c r="F358" s="157" t="s">
        <v>290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264</v>
      </c>
      <c r="B359" s="114" t="str">
        <f>VLOOKUP(A359,'Data pick slip'!B:F,5,FALSE)</f>
        <v>KHJ-MC200-00</v>
      </c>
      <c r="D359" s="156"/>
      <c r="E359" s="160" t="s">
        <v>427</v>
      </c>
      <c r="F359" s="157" t="s">
        <v>290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265</v>
      </c>
      <c r="B360" s="114" t="str">
        <f>VLOOKUP(A360,'Data pick slip'!B:F,5,FALSE)</f>
        <v>KHJ-MC400-00</v>
      </c>
      <c r="D360" s="156"/>
      <c r="E360" s="160" t="s">
        <v>427</v>
      </c>
      <c r="F360" s="157" t="s">
        <v>290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266</v>
      </c>
      <c r="B361" s="114" t="str">
        <f>VLOOKUP(A361,'Data pick slip'!B:F,5,FALSE)</f>
        <v>KHJ-MC500-00</v>
      </c>
      <c r="D361" s="156"/>
      <c r="E361" s="160" t="s">
        <v>427</v>
      </c>
      <c r="F361" s="157" t="s">
        <v>290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267</v>
      </c>
      <c r="B362" s="114" t="str">
        <f>VLOOKUP(A362,'Data pick slip'!B:F,5,FALSE)</f>
        <v>KHJ-MC600-00</v>
      </c>
      <c r="D362" s="156"/>
      <c r="E362" s="160" t="s">
        <v>427</v>
      </c>
      <c r="F362" s="157" t="s">
        <v>290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271</v>
      </c>
      <c r="B363" s="114" t="str">
        <f>VLOOKUP(A363,'Data pick slip'!B:F,5,FALSE)</f>
        <v>KLJ-MCN00-20</v>
      </c>
      <c r="C363" s="156">
        <v>109956</v>
      </c>
      <c r="D363" s="156" t="s">
        <v>428</v>
      </c>
      <c r="E363" s="160">
        <v>44018</v>
      </c>
      <c r="F363" s="157" t="s">
        <v>379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272</v>
      </c>
      <c r="B364" s="114" t="str">
        <f>VLOOKUP(A364,'Data pick slip'!B:F,5,FALSE)</f>
        <v>KLJ-MC100-00</v>
      </c>
      <c r="C364" s="156">
        <v>109956</v>
      </c>
      <c r="D364" s="156" t="s">
        <v>428</v>
      </c>
      <c r="E364" s="160">
        <v>44018</v>
      </c>
      <c r="F364" s="157" t="s">
        <v>379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261</v>
      </c>
      <c r="B365" s="114" t="str">
        <f>VLOOKUP(A365,'Data pick slip'!B:F,5,FALSE)</f>
        <v>KHJ-MC100-00</v>
      </c>
      <c r="C365" s="156">
        <v>109957</v>
      </c>
      <c r="D365" s="156" t="e">
        <f>VLOOKUP(C365,Stock_list!D:L,2,FALSE)</f>
        <v>#N/A</v>
      </c>
      <c r="E365" s="160" t="e">
        <f>VLOOKUP(C365,Stock_list!D:L,9,FALSE)</f>
        <v>#N/A</v>
      </c>
      <c r="F365" s="157" t="s">
        <v>379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264</v>
      </c>
      <c r="B366" s="114" t="str">
        <f>VLOOKUP(A366,'Data pick slip'!B:F,5,FALSE)</f>
        <v>KHJ-MC200-00</v>
      </c>
      <c r="C366" s="156">
        <v>109957</v>
      </c>
      <c r="D366" s="156" t="e">
        <f>VLOOKUP(C366,Stock_list!D:L,2,FALSE)</f>
        <v>#N/A</v>
      </c>
      <c r="E366" s="160" t="e">
        <f>VLOOKUP(C366,Stock_list!D:L,9,FALSE)</f>
        <v>#N/A</v>
      </c>
      <c r="F366" s="157" t="s">
        <v>379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265</v>
      </c>
      <c r="B367" s="114" t="str">
        <f>VLOOKUP(A367,'Data pick slip'!B:F,5,FALSE)</f>
        <v>KHJ-MC400-00</v>
      </c>
      <c r="C367" s="156">
        <v>109957</v>
      </c>
      <c r="D367" s="156" t="e">
        <f>VLOOKUP(C367,Stock_list!D:L,2,FALSE)</f>
        <v>#N/A</v>
      </c>
      <c r="E367" s="160" t="e">
        <f>VLOOKUP(C367,Stock_list!D:L,9,FALSE)</f>
        <v>#N/A</v>
      </c>
      <c r="F367" s="157" t="s">
        <v>379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266</v>
      </c>
      <c r="B368" s="114" t="str">
        <f>VLOOKUP(A368,'Data pick slip'!B:F,5,FALSE)</f>
        <v>KHJ-MC500-00</v>
      </c>
      <c r="C368" s="156">
        <v>109957</v>
      </c>
      <c r="D368" s="156" t="e">
        <f>VLOOKUP(C368,Stock_list!D:L,2,FALSE)</f>
        <v>#N/A</v>
      </c>
      <c r="E368" s="160" t="e">
        <f>VLOOKUP(C368,Stock_list!D:L,9,FALSE)</f>
        <v>#N/A</v>
      </c>
      <c r="F368" s="157" t="s">
        <v>379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267</v>
      </c>
      <c r="B369" s="114" t="str">
        <f>VLOOKUP(A369,'Data pick slip'!B:F,5,FALSE)</f>
        <v>KHJ-MC600-00</v>
      </c>
      <c r="C369" s="156">
        <v>109957</v>
      </c>
      <c r="D369" s="156" t="e">
        <f>VLOOKUP(C369,Stock_list!D:L,2,FALSE)</f>
        <v>#N/A</v>
      </c>
      <c r="E369" s="160" t="e">
        <f>VLOOKUP(C369,Stock_list!D:L,9,FALSE)</f>
        <v>#N/A</v>
      </c>
      <c r="F369" s="157" t="s">
        <v>379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261</v>
      </c>
      <c r="B370" s="114" t="str">
        <f>VLOOKUP(A370,'Data pick slip'!B:F,5,FALSE)</f>
        <v>KHJ-MC100-00</v>
      </c>
      <c r="D370" s="156"/>
      <c r="E370" s="160" t="s">
        <v>429</v>
      </c>
      <c r="F370" s="157" t="s">
        <v>290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266</v>
      </c>
      <c r="B371" s="114" t="str">
        <f>VLOOKUP(A371,'Data pick slip'!B:F,5,FALSE)</f>
        <v>KHJ-MC500-00</v>
      </c>
      <c r="D371" s="156"/>
      <c r="E371" s="160" t="s">
        <v>429</v>
      </c>
      <c r="F371" s="157" t="s">
        <v>290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261</v>
      </c>
      <c r="B372" s="114" t="str">
        <f>VLOOKUP(A372,'Data pick slip'!B:F,5,FALSE)</f>
        <v>KHJ-MC100-00</v>
      </c>
      <c r="D372" s="156"/>
      <c r="E372" s="160" t="s">
        <v>430</v>
      </c>
      <c r="F372" s="157" t="s">
        <v>290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261</v>
      </c>
      <c r="B373" s="114" t="str">
        <f>VLOOKUP(A373,'Data pick slip'!B:F,5,FALSE)</f>
        <v>KHJ-MC100-00</v>
      </c>
      <c r="C373" s="156">
        <v>109977</v>
      </c>
      <c r="D373" s="156" t="e">
        <f>VLOOKUP(C373,Stock_list!D:L,2,FALSE)</f>
        <v>#N/A</v>
      </c>
      <c r="E373" s="160" t="e">
        <f>VLOOKUP(C373,Stock_list!D:L,9,FALSE)</f>
        <v>#N/A</v>
      </c>
      <c r="F373" s="157" t="s">
        <v>379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264</v>
      </c>
      <c r="B374" s="114" t="str">
        <f>VLOOKUP(A374,'Data pick slip'!B:F,5,FALSE)</f>
        <v>KHJ-MC200-00</v>
      </c>
      <c r="C374" s="156">
        <v>109977</v>
      </c>
      <c r="D374" s="156" t="e">
        <f>VLOOKUP(C374,Stock_list!D:L,2,FALSE)</f>
        <v>#N/A</v>
      </c>
      <c r="E374" s="160" t="e">
        <f>VLOOKUP(C374,Stock_list!D:L,9,FALSE)</f>
        <v>#N/A</v>
      </c>
      <c r="F374" s="157" t="s">
        <v>379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272</v>
      </c>
      <c r="B375" s="114" t="str">
        <f>VLOOKUP(A375,'Data pick slip'!B:F,5,FALSE)</f>
        <v>KLJ-MC100-00</v>
      </c>
      <c r="C375" s="156">
        <v>109980</v>
      </c>
      <c r="D375" s="156" t="e">
        <f>VLOOKUP(C375,Stock_list!D:L,2,FALSE)</f>
        <v>#N/A</v>
      </c>
      <c r="E375" s="160" t="e">
        <f>VLOOKUP(C375,Stock_list!D:L,9,FALSE)</f>
        <v>#N/A</v>
      </c>
      <c r="F375" s="157" t="s">
        <v>379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265</v>
      </c>
      <c r="B376" s="114" t="str">
        <f>VLOOKUP(A376,'Data pick slip'!B:F,5,FALSE)</f>
        <v>KHJ-MC400-00</v>
      </c>
      <c r="D376" s="156"/>
      <c r="E376" s="160" t="s">
        <v>431</v>
      </c>
      <c r="F376" s="157" t="s">
        <v>290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271</v>
      </c>
      <c r="B377" s="114" t="str">
        <f>VLOOKUP(A377,'Data pick slip'!B:F,5,FALSE)</f>
        <v>KLJ-MCN00-20</v>
      </c>
      <c r="D377" s="156"/>
      <c r="E377" s="160" t="s">
        <v>431</v>
      </c>
      <c r="F377" s="157" t="s">
        <v>290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272</v>
      </c>
      <c r="B378" s="114" t="str">
        <f>VLOOKUP(A378,'Data pick slip'!B:F,5,FALSE)</f>
        <v>KLJ-MC100-00</v>
      </c>
      <c r="D378" s="156"/>
      <c r="E378" s="160" t="s">
        <v>431</v>
      </c>
      <c r="F378" s="157" t="s">
        <v>290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261</v>
      </c>
      <c r="B379" s="114" t="str">
        <f>VLOOKUP(A379,'Data pick slip'!B:F,5,FALSE)</f>
        <v>KHJ-MC100-00</v>
      </c>
      <c r="C379" s="156">
        <v>109992</v>
      </c>
      <c r="D379" s="156" t="e">
        <f>VLOOKUP(C379,Stock_list!D:L,2,FALSE)</f>
        <v>#N/A</v>
      </c>
      <c r="E379" s="160" t="e">
        <f>VLOOKUP(C379,Stock_list!D:L,9,FALSE)</f>
        <v>#N/A</v>
      </c>
      <c r="F379" s="157" t="s">
        <v>379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264</v>
      </c>
      <c r="B380" s="114" t="str">
        <f>VLOOKUP(A380,'Data pick slip'!B:F,5,FALSE)</f>
        <v>KHJ-MC200-00</v>
      </c>
      <c r="C380" s="156">
        <v>109992</v>
      </c>
      <c r="D380" s="156" t="e">
        <f>VLOOKUP(C380,Stock_list!D:L,2,FALSE)</f>
        <v>#N/A</v>
      </c>
      <c r="E380" s="160" t="e">
        <f>VLOOKUP(C380,Stock_list!D:L,9,FALSE)</f>
        <v>#N/A</v>
      </c>
      <c r="F380" s="157" t="s">
        <v>379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261</v>
      </c>
      <c r="B381" s="114" t="str">
        <f>VLOOKUP(A381,'Data pick slip'!B:F,5,FALSE)</f>
        <v>KHJ-MC100-00</v>
      </c>
      <c r="C381" s="156">
        <v>109995</v>
      </c>
      <c r="D381" s="156" t="e">
        <f>VLOOKUP(C381,Stock_list!D:L,2,FALSE)</f>
        <v>#N/A</v>
      </c>
      <c r="E381" s="160" t="e">
        <f>VLOOKUP(C381,Stock_list!D:L,9,FALSE)</f>
        <v>#N/A</v>
      </c>
      <c r="F381" s="157" t="s">
        <v>379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264</v>
      </c>
      <c r="B382" s="114" t="str">
        <f>VLOOKUP(A382,'Data pick slip'!B:F,5,FALSE)</f>
        <v>KHJ-MC200-00</v>
      </c>
      <c r="C382" s="156">
        <v>109995</v>
      </c>
      <c r="D382" s="156" t="e">
        <f>VLOOKUP(C382,Stock_list!D:L,2,FALSE)</f>
        <v>#N/A</v>
      </c>
      <c r="E382" s="160" t="e">
        <f>VLOOKUP(C382,Stock_list!D:L,9,FALSE)</f>
        <v>#N/A</v>
      </c>
      <c r="F382" s="157" t="s">
        <v>379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265</v>
      </c>
      <c r="B383" s="114" t="str">
        <f>VLOOKUP(A383,'Data pick slip'!B:F,5,FALSE)</f>
        <v>KHJ-MC400-00</v>
      </c>
      <c r="C383" s="156">
        <v>109995</v>
      </c>
      <c r="D383" s="156" t="e">
        <f>VLOOKUP(C383,Stock_list!D:L,2,FALSE)</f>
        <v>#N/A</v>
      </c>
      <c r="E383" s="160" t="e">
        <f>VLOOKUP(C383,Stock_list!D:L,9,FALSE)</f>
        <v>#N/A</v>
      </c>
      <c r="F383" s="157" t="s">
        <v>379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266</v>
      </c>
      <c r="B384" s="114" t="str">
        <f>VLOOKUP(A384,'Data pick slip'!B:F,5,FALSE)</f>
        <v>KHJ-MC500-00</v>
      </c>
      <c r="C384" s="165">
        <v>109995</v>
      </c>
      <c r="D384" s="165" t="e">
        <f>VLOOKUP(C384,Stock_list!D:L,2,FALSE)</f>
        <v>#N/A</v>
      </c>
      <c r="E384" s="303" t="e">
        <f>VLOOKUP(C384,Stock_list!D:L,9,FALSE)</f>
        <v>#N/A</v>
      </c>
      <c r="F384" s="166" t="s">
        <v>379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267</v>
      </c>
      <c r="B385" s="114" t="str">
        <f>VLOOKUP(A385,'Data pick slip'!B:F,5,FALSE)</f>
        <v>KHJ-MC600-00</v>
      </c>
      <c r="C385" s="168" t="s">
        <v>432</v>
      </c>
      <c r="D385" s="156" t="s">
        <v>433</v>
      </c>
      <c r="E385" s="160">
        <v>44126</v>
      </c>
      <c r="F385" s="157" t="s">
        <v>379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261</v>
      </c>
      <c r="B386" s="114" t="str">
        <f>VLOOKUP(A386,'Data pick slip'!B:F,5,FALSE)</f>
        <v>KHJ-MC100-00</v>
      </c>
      <c r="C386" s="156">
        <v>110025</v>
      </c>
      <c r="D386" s="156" t="e">
        <f>VLOOKUP(C386,Stock_list!D:L,2,FALSE)</f>
        <v>#N/A</v>
      </c>
      <c r="E386" s="160" t="e">
        <f>VLOOKUP(C386,Stock_list!D:L,9,FALSE)</f>
        <v>#N/A</v>
      </c>
      <c r="F386" s="157" t="s">
        <v>379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264</v>
      </c>
      <c r="B387" s="114" t="str">
        <f>VLOOKUP(A387,'Data pick slip'!B:F,5,FALSE)</f>
        <v>KHJ-MC200-00</v>
      </c>
      <c r="C387" s="156">
        <v>110025</v>
      </c>
      <c r="D387" s="156" t="e">
        <f>VLOOKUP(C387,Stock_list!D:L,2,FALSE)</f>
        <v>#N/A</v>
      </c>
      <c r="E387" s="160" t="e">
        <f>VLOOKUP(C387,Stock_list!D:L,9,FALSE)</f>
        <v>#N/A</v>
      </c>
      <c r="F387" s="157" t="s">
        <v>379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261</v>
      </c>
      <c r="B388" s="114" t="str">
        <f>VLOOKUP(A388,'Data pick slip'!B:F,5,FALSE)</f>
        <v>KHJ-MC100-00</v>
      </c>
      <c r="C388" s="156">
        <v>110026</v>
      </c>
      <c r="D388" s="156" t="e">
        <f>VLOOKUP(C388,Stock_list!D:L,2,FALSE)</f>
        <v>#N/A</v>
      </c>
      <c r="E388" s="160" t="e">
        <f>VLOOKUP(C388,Stock_list!D:L,9,FALSE)</f>
        <v>#N/A</v>
      </c>
      <c r="F388" s="157" t="s">
        <v>379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265</v>
      </c>
      <c r="B389" s="114" t="str">
        <f>VLOOKUP(A389,'Data pick slip'!B:F,5,FALSE)</f>
        <v>KHJ-MC400-00</v>
      </c>
      <c r="C389" s="156">
        <v>110026</v>
      </c>
      <c r="D389" s="156" t="e">
        <f>VLOOKUP(C389,Stock_list!D:L,2,FALSE)</f>
        <v>#N/A</v>
      </c>
      <c r="E389" s="160" t="e">
        <f>VLOOKUP(C389,Stock_list!D:L,9,FALSE)</f>
        <v>#N/A</v>
      </c>
      <c r="F389" s="157" t="s">
        <v>379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266</v>
      </c>
      <c r="B390" s="114" t="str">
        <f>VLOOKUP(A390,'Data pick slip'!B:F,5,FALSE)</f>
        <v>KHJ-MC500-00</v>
      </c>
      <c r="C390" s="156">
        <v>110026</v>
      </c>
      <c r="D390" s="156" t="e">
        <f>VLOOKUP(C390,Stock_list!D:L,2,FALSE)</f>
        <v>#N/A</v>
      </c>
      <c r="E390" s="160" t="e">
        <f>VLOOKUP(C390,Stock_list!D:L,9,FALSE)</f>
        <v>#N/A</v>
      </c>
      <c r="F390" s="157" t="s">
        <v>379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268</v>
      </c>
      <c r="B391" s="114" t="str">
        <f>VLOOKUP(A391,'Data pick slip'!B:F,5,FALSE)</f>
        <v>KHJ-MC700-00</v>
      </c>
      <c r="C391" s="156">
        <v>110026</v>
      </c>
      <c r="D391" s="156" t="e">
        <f>VLOOKUP(C391,Stock_list!D:L,2,FALSE)</f>
        <v>#N/A</v>
      </c>
      <c r="E391" s="160" t="e">
        <f>VLOOKUP(C391,Stock_list!D:L,9,FALSE)</f>
        <v>#N/A</v>
      </c>
      <c r="F391" s="157" t="s">
        <v>379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261</v>
      </c>
      <c r="B392" s="114" t="str">
        <f>VLOOKUP(A392,'Data pick slip'!B:F,5,FALSE)</f>
        <v>KHJ-MC100-00</v>
      </c>
      <c r="D392" s="156"/>
      <c r="E392" s="160" t="s">
        <v>434</v>
      </c>
      <c r="F392" s="157" t="s">
        <v>290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264</v>
      </c>
      <c r="B393" s="114" t="str">
        <f>VLOOKUP(A393,'Data pick slip'!B:F,5,FALSE)</f>
        <v>KHJ-MC200-00</v>
      </c>
      <c r="D393" s="156"/>
      <c r="E393" s="160" t="s">
        <v>434</v>
      </c>
      <c r="F393" s="157" t="s">
        <v>290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265</v>
      </c>
      <c r="B394" s="114" t="str">
        <f>VLOOKUP(A394,'Data pick slip'!B:F,5,FALSE)</f>
        <v>KHJ-MC400-00</v>
      </c>
      <c r="D394" s="156"/>
      <c r="E394" s="160" t="s">
        <v>434</v>
      </c>
      <c r="F394" s="157" t="s">
        <v>290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266</v>
      </c>
      <c r="B395" s="114" t="str">
        <f>VLOOKUP(A395,'Data pick slip'!B:F,5,FALSE)</f>
        <v>KHJ-MC500-00</v>
      </c>
      <c r="D395" s="156"/>
      <c r="E395" s="160" t="s">
        <v>434</v>
      </c>
      <c r="F395" s="157" t="s">
        <v>290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261</v>
      </c>
      <c r="B396" s="114" t="str">
        <f>VLOOKUP(A396,'Data pick slip'!B:F,5,FALSE)</f>
        <v>KHJ-MC100-00</v>
      </c>
      <c r="D396" s="156"/>
      <c r="E396" s="160" t="s">
        <v>435</v>
      </c>
      <c r="F396" s="157" t="s">
        <v>290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261</v>
      </c>
      <c r="B397" s="114" t="str">
        <f>VLOOKUP(A397,'Data pick slip'!B:F,5,FALSE)</f>
        <v>KHJ-MC100-00</v>
      </c>
      <c r="C397" s="156">
        <v>110048</v>
      </c>
      <c r="D397" s="156" t="e">
        <f>VLOOKUP(C397,Stock_list!D:L,2,FALSE)</f>
        <v>#N/A</v>
      </c>
      <c r="E397" s="160" t="e">
        <f>VLOOKUP(C397,Stock_list!D:L,9,FALSE)</f>
        <v>#N/A</v>
      </c>
      <c r="F397" s="157" t="s">
        <v>379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265</v>
      </c>
      <c r="B398" s="114" t="str">
        <f>VLOOKUP(A398,'Data pick slip'!B:F,5,FALSE)</f>
        <v>KHJ-MC400-00</v>
      </c>
      <c r="C398" s="156">
        <v>110048</v>
      </c>
      <c r="D398" s="156" t="e">
        <f>VLOOKUP(C398,Stock_list!D:L,2,FALSE)</f>
        <v>#N/A</v>
      </c>
      <c r="E398" s="160" t="e">
        <f>VLOOKUP(C398,Stock_list!D:L,9,FALSE)</f>
        <v>#N/A</v>
      </c>
      <c r="F398" s="157" t="s">
        <v>379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268</v>
      </c>
      <c r="B399" s="114" t="str">
        <f>VLOOKUP(A399,'Data pick slip'!B:F,5,FALSE)</f>
        <v>KHJ-MC700-00</v>
      </c>
      <c r="C399" s="156">
        <v>110048</v>
      </c>
      <c r="D399" s="156" t="e">
        <f>VLOOKUP(C399,Stock_list!D:L,2,FALSE)</f>
        <v>#N/A</v>
      </c>
      <c r="E399" s="160" t="e">
        <f>VLOOKUP(C399,Stock_list!D:L,9,FALSE)</f>
        <v>#N/A</v>
      </c>
      <c r="F399" s="157" t="s">
        <v>379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261</v>
      </c>
      <c r="B400" s="114" t="str">
        <f>VLOOKUP(A400,'Data pick slip'!B:F,5,FALSE)</f>
        <v>KHJ-MC100-00</v>
      </c>
      <c r="C400" s="156">
        <v>110049</v>
      </c>
      <c r="D400" s="156" t="e">
        <f>VLOOKUP(C400,Stock_list!D:L,2,FALSE)</f>
        <v>#N/A</v>
      </c>
      <c r="E400" s="160" t="e">
        <f>VLOOKUP(C400,Stock_list!D:L,9,FALSE)</f>
        <v>#N/A</v>
      </c>
      <c r="F400" s="157" t="s">
        <v>379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264</v>
      </c>
      <c r="B401" s="114" t="str">
        <f>VLOOKUP(A401,'Data pick slip'!B:F,5,FALSE)</f>
        <v>KHJ-MC200-00</v>
      </c>
      <c r="C401" s="156">
        <v>110049</v>
      </c>
      <c r="D401" s="156" t="e">
        <f>VLOOKUP(C401,Stock_list!D:L,2,FALSE)</f>
        <v>#N/A</v>
      </c>
      <c r="E401" s="160" t="e">
        <f>VLOOKUP(C401,Stock_list!D:L,9,FALSE)</f>
        <v>#N/A</v>
      </c>
      <c r="F401" s="157" t="s">
        <v>379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265</v>
      </c>
      <c r="B402" s="114" t="str">
        <f>VLOOKUP(A402,'Data pick slip'!B:F,5,FALSE)</f>
        <v>KHJ-MC400-00</v>
      </c>
      <c r="C402" s="156">
        <v>110049</v>
      </c>
      <c r="D402" s="156" t="e">
        <f>VLOOKUP(C402,Stock_list!D:L,2,FALSE)</f>
        <v>#N/A</v>
      </c>
      <c r="E402" s="160" t="e">
        <f>VLOOKUP(C402,Stock_list!D:L,9,FALSE)</f>
        <v>#N/A</v>
      </c>
      <c r="F402" s="157" t="s">
        <v>379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266</v>
      </c>
      <c r="B403" s="114" t="str">
        <f>VLOOKUP(A403,'Data pick slip'!B:F,5,FALSE)</f>
        <v>KHJ-MC500-00</v>
      </c>
      <c r="C403" s="156">
        <v>110049</v>
      </c>
      <c r="D403" s="156" t="e">
        <f>VLOOKUP(C403,Stock_list!D:L,2,FALSE)</f>
        <v>#N/A</v>
      </c>
      <c r="E403" s="160" t="e">
        <f>VLOOKUP(C403,Stock_list!D:L,9,FALSE)</f>
        <v>#N/A</v>
      </c>
      <c r="F403" s="157" t="s">
        <v>379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267</v>
      </c>
      <c r="B404" s="114" t="str">
        <f>VLOOKUP(A404,'Data pick slip'!B:F,5,FALSE)</f>
        <v>KHJ-MC600-00</v>
      </c>
      <c r="C404" s="156">
        <v>110049</v>
      </c>
      <c r="D404" s="156" t="e">
        <f>VLOOKUP(C404,Stock_list!D:L,2,FALSE)</f>
        <v>#N/A</v>
      </c>
      <c r="E404" s="160" t="e">
        <f>VLOOKUP(C404,Stock_list!D:L,9,FALSE)</f>
        <v>#N/A</v>
      </c>
      <c r="F404" s="157" t="s">
        <v>379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261</v>
      </c>
      <c r="B405" s="114" t="str">
        <f>VLOOKUP(A405,'Data pick slip'!B:F,5,FALSE)</f>
        <v>KHJ-MC100-00</v>
      </c>
      <c r="C405" s="156">
        <v>110050</v>
      </c>
      <c r="D405" s="156" t="e">
        <f>VLOOKUP(C405,Stock_list!D:L,2,FALSE)</f>
        <v>#N/A</v>
      </c>
      <c r="E405" s="160" t="e">
        <f>VLOOKUP(C405,Stock_list!D:L,9,FALSE)</f>
        <v>#N/A</v>
      </c>
      <c r="F405" s="157" t="s">
        <v>379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264</v>
      </c>
      <c r="B406" s="114" t="str">
        <f>VLOOKUP(A406,'Data pick slip'!B:F,5,FALSE)</f>
        <v>KHJ-MC200-00</v>
      </c>
      <c r="C406" s="156">
        <v>110050</v>
      </c>
      <c r="D406" s="156" t="e">
        <f>VLOOKUP(C406,Stock_list!D:L,2,FALSE)</f>
        <v>#N/A</v>
      </c>
      <c r="E406" s="160" t="e">
        <f>VLOOKUP(C406,Stock_list!D:L,9,FALSE)</f>
        <v>#N/A</v>
      </c>
      <c r="F406" s="157" t="s">
        <v>379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265</v>
      </c>
      <c r="B407" s="114" t="str">
        <f>VLOOKUP(A407,'Data pick slip'!B:F,5,FALSE)</f>
        <v>KHJ-MC400-00</v>
      </c>
      <c r="C407" s="156">
        <v>110050</v>
      </c>
      <c r="D407" s="156" t="e">
        <f>VLOOKUP(C407,Stock_list!D:L,2,FALSE)</f>
        <v>#N/A</v>
      </c>
      <c r="E407" s="160" t="e">
        <f>VLOOKUP(C407,Stock_list!D:L,9,FALSE)</f>
        <v>#N/A</v>
      </c>
      <c r="F407" s="157" t="s">
        <v>379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266</v>
      </c>
      <c r="B408" s="114" t="str">
        <f>VLOOKUP(A408,'Data pick slip'!B:F,5,FALSE)</f>
        <v>KHJ-MC500-00</v>
      </c>
      <c r="C408" s="156">
        <v>110050</v>
      </c>
      <c r="D408" s="156" t="e">
        <f>VLOOKUP(C408,Stock_list!D:L,2,FALSE)</f>
        <v>#N/A</v>
      </c>
      <c r="E408" s="160" t="e">
        <f>VLOOKUP(C408,Stock_list!D:L,9,FALSE)</f>
        <v>#N/A</v>
      </c>
      <c r="F408" s="157" t="s">
        <v>379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267</v>
      </c>
      <c r="B409" s="114" t="str">
        <f>VLOOKUP(A409,'Data pick slip'!B:F,5,FALSE)</f>
        <v>KHJ-MC600-00</v>
      </c>
      <c r="C409" s="156">
        <v>110050</v>
      </c>
      <c r="D409" s="156" t="e">
        <f>VLOOKUP(C409,Stock_list!D:L,2,FALSE)</f>
        <v>#N/A</v>
      </c>
      <c r="E409" s="160" t="e">
        <f>VLOOKUP(C409,Stock_list!D:L,9,FALSE)</f>
        <v>#N/A</v>
      </c>
      <c r="F409" s="157" t="s">
        <v>379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261</v>
      </c>
      <c r="B410" s="114" t="str">
        <f>VLOOKUP(A410,'Data pick slip'!B:F,5,FALSE)</f>
        <v>KHJ-MC100-00</v>
      </c>
      <c r="C410" s="169"/>
      <c r="D410" s="156"/>
      <c r="E410" s="160" t="s">
        <v>436</v>
      </c>
      <c r="F410" s="170" t="s">
        <v>290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264</v>
      </c>
      <c r="B411" s="114" t="str">
        <f>VLOOKUP(A411,'Data pick slip'!B:F,5,FALSE)</f>
        <v>KHJ-MC200-00</v>
      </c>
      <c r="C411" s="169"/>
      <c r="D411" s="156"/>
      <c r="E411" s="160" t="s">
        <v>436</v>
      </c>
      <c r="F411" s="170" t="s">
        <v>290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261</v>
      </c>
      <c r="B412" s="114" t="str">
        <f>VLOOKUP(A412,'Data pick slip'!B:F,5,FALSE)</f>
        <v>KHJ-MC100-00</v>
      </c>
      <c r="C412" s="169">
        <v>110066</v>
      </c>
      <c r="D412" s="156" t="e">
        <f>VLOOKUP(C412,Stock_list!D:L,2,FALSE)</f>
        <v>#N/A</v>
      </c>
      <c r="E412" s="160" t="e">
        <f>VLOOKUP(C412,Stock_list!D:L,9,FALSE)</f>
        <v>#N/A</v>
      </c>
      <c r="F412" s="157" t="s">
        <v>227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261</v>
      </c>
      <c r="B413" s="114" t="str">
        <f>VLOOKUP(A413,'Data pick slip'!B:F,5,FALSE)</f>
        <v>KHJ-MC100-00</v>
      </c>
      <c r="C413" s="169"/>
      <c r="D413" s="156"/>
      <c r="E413" s="160" t="s">
        <v>437</v>
      </c>
      <c r="F413" s="170" t="s">
        <v>290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264</v>
      </c>
      <c r="B414" s="114" t="str">
        <f>VLOOKUP(A414,'Data pick slip'!B:F,5,FALSE)</f>
        <v>KHJ-MC200-00</v>
      </c>
      <c r="C414" s="169"/>
      <c r="D414" s="156"/>
      <c r="E414" s="160" t="s">
        <v>437</v>
      </c>
      <c r="F414" s="170" t="s">
        <v>290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265</v>
      </c>
      <c r="B415" s="114" t="str">
        <f>VLOOKUP(A415,'Data pick slip'!B:F,5,FALSE)</f>
        <v>KHJ-MC400-00</v>
      </c>
      <c r="C415" s="169"/>
      <c r="D415" s="156"/>
      <c r="E415" s="160" t="s">
        <v>437</v>
      </c>
      <c r="F415" s="170" t="s">
        <v>290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266</v>
      </c>
      <c r="B416" s="114" t="str">
        <f>VLOOKUP(A416,'Data pick slip'!B:F,5,FALSE)</f>
        <v>KHJ-MC500-00</v>
      </c>
      <c r="C416" s="169"/>
      <c r="D416" s="156"/>
      <c r="E416" s="160" t="s">
        <v>437</v>
      </c>
      <c r="F416" s="170" t="s">
        <v>290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267</v>
      </c>
      <c r="B417" s="114" t="str">
        <f>VLOOKUP(A417,'Data pick slip'!B:F,5,FALSE)</f>
        <v>KHJ-MC600-00</v>
      </c>
      <c r="C417" s="169"/>
      <c r="D417" s="156"/>
      <c r="E417" s="160" t="s">
        <v>437</v>
      </c>
      <c r="F417" s="170" t="s">
        <v>290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266</v>
      </c>
      <c r="B418" s="114" t="str">
        <f>VLOOKUP(A418,'Data pick slip'!B:F,5,FALSE)</f>
        <v>KHJ-MC500-00</v>
      </c>
      <c r="C418" s="169">
        <v>110101</v>
      </c>
      <c r="D418" s="156" t="s">
        <v>438</v>
      </c>
      <c r="E418" s="160">
        <v>44119</v>
      </c>
      <c r="F418" s="170" t="s">
        <v>379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267</v>
      </c>
      <c r="B419" s="114" t="str">
        <f>VLOOKUP(A419,'Data pick slip'!B:F,5,FALSE)</f>
        <v>KHJ-MC600-00</v>
      </c>
      <c r="C419" s="169">
        <v>110101</v>
      </c>
      <c r="D419" s="156" t="s">
        <v>438</v>
      </c>
      <c r="E419" s="160">
        <v>44119</v>
      </c>
      <c r="F419" s="170" t="s">
        <v>379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268</v>
      </c>
      <c r="B420" s="114" t="str">
        <f>VLOOKUP(A420,'Data pick slip'!B:F,5,FALSE)</f>
        <v>KHJ-MC700-00</v>
      </c>
      <c r="C420" s="169">
        <v>110101</v>
      </c>
      <c r="D420" s="156" t="s">
        <v>438</v>
      </c>
      <c r="E420" s="160">
        <v>44119</v>
      </c>
      <c r="F420" s="170" t="s">
        <v>379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269</v>
      </c>
      <c r="B421" s="114" t="str">
        <f>VLOOKUP(A421,'Data pick slip'!B:F,5,FALSE)</f>
        <v>KHJ-MC800-00</v>
      </c>
      <c r="C421" s="169">
        <v>110101</v>
      </c>
      <c r="D421" s="156" t="s">
        <v>438</v>
      </c>
      <c r="E421" s="160">
        <v>44119</v>
      </c>
      <c r="F421" s="170" t="s">
        <v>379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439</v>
      </c>
      <c r="B422" s="114" t="e">
        <f>VLOOKUP(A422,'Data pick slip'!B:F,5,FALSE)</f>
        <v>#N/A</v>
      </c>
      <c r="C422" s="169">
        <v>110102</v>
      </c>
      <c r="D422" s="156" t="s">
        <v>438</v>
      </c>
      <c r="E422" s="160">
        <v>44139</v>
      </c>
      <c r="F422" s="157" t="s">
        <v>379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261</v>
      </c>
      <c r="B423" s="114" t="str">
        <f>VLOOKUP(A423,'Data pick slip'!B:F,5,FALSE)</f>
        <v>KHJ-MC100-00</v>
      </c>
      <c r="C423" s="169">
        <v>110230</v>
      </c>
      <c r="D423" s="156" t="e">
        <f>VLOOKUP(C423,Stock_list!D:L,2,FALSE)</f>
        <v>#N/A</v>
      </c>
      <c r="E423" s="160" t="e">
        <f>VLOOKUP(C423,Stock_list!D:L,9,FALSE)</f>
        <v>#N/A</v>
      </c>
      <c r="F423" s="170" t="s">
        <v>227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264</v>
      </c>
      <c r="B424" s="114" t="str">
        <f>VLOOKUP(A424,'Data pick slip'!B:F,5,FALSE)</f>
        <v>KHJ-MC200-00</v>
      </c>
      <c r="C424" s="169">
        <v>110230</v>
      </c>
      <c r="D424" s="156" t="e">
        <f>VLOOKUP(C424,Stock_list!D:L,2,FALSE)</f>
        <v>#N/A</v>
      </c>
      <c r="E424" s="160" t="e">
        <f>VLOOKUP(C424,Stock_list!D:L,9,FALSE)</f>
        <v>#N/A</v>
      </c>
      <c r="F424" s="170" t="s">
        <v>227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265</v>
      </c>
      <c r="B425" s="114" t="str">
        <f>VLOOKUP(A425,'Data pick slip'!B:F,5,FALSE)</f>
        <v>KHJ-MC400-00</v>
      </c>
      <c r="C425" s="169">
        <v>110230</v>
      </c>
      <c r="D425" s="156" t="e">
        <f>VLOOKUP(C425,Stock_list!D:L,2,FALSE)</f>
        <v>#N/A</v>
      </c>
      <c r="E425" s="160" t="e">
        <f>VLOOKUP(C425,Stock_list!D:L,9,FALSE)</f>
        <v>#N/A</v>
      </c>
      <c r="F425" s="170" t="s">
        <v>227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266</v>
      </c>
      <c r="B426" s="114" t="str">
        <f>VLOOKUP(A426,'Data pick slip'!B:F,5,FALSE)</f>
        <v>KHJ-MC500-00</v>
      </c>
      <c r="C426" s="169">
        <v>110230</v>
      </c>
      <c r="D426" s="156" t="e">
        <f>VLOOKUP(C426,Stock_list!D:L,2,FALSE)</f>
        <v>#N/A</v>
      </c>
      <c r="E426" s="160" t="e">
        <f>VLOOKUP(C426,Stock_list!D:L,9,FALSE)</f>
        <v>#N/A</v>
      </c>
      <c r="F426" s="170" t="s">
        <v>227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261</v>
      </c>
      <c r="B427" s="114" t="str">
        <f>VLOOKUP(A427,'Data pick slip'!B:F,5,FALSE)</f>
        <v>KHJ-MC100-00</v>
      </c>
      <c r="C427" s="169">
        <v>110096</v>
      </c>
      <c r="D427" s="156" t="e">
        <f>VLOOKUP(C427,Stock_list!D:L,2,FALSE)</f>
        <v>#N/A</v>
      </c>
      <c r="E427" s="160" t="e">
        <f>VLOOKUP(C427,Stock_list!D:L,9,FALSE)</f>
        <v>#N/A</v>
      </c>
      <c r="F427" s="170" t="s">
        <v>227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264</v>
      </c>
      <c r="B428" s="114" t="str">
        <f>VLOOKUP(A428,'Data pick slip'!B:F,5,FALSE)</f>
        <v>KHJ-MC200-00</v>
      </c>
      <c r="C428" s="169">
        <v>110096</v>
      </c>
      <c r="D428" s="156" t="e">
        <f>VLOOKUP(C428,Stock_list!D:L,2,FALSE)</f>
        <v>#N/A</v>
      </c>
      <c r="E428" s="160" t="e">
        <f>VLOOKUP(C428,Stock_list!D:L,9,FALSE)</f>
        <v>#N/A</v>
      </c>
      <c r="F428" s="170" t="s">
        <v>227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261</v>
      </c>
      <c r="B429" s="114" t="str">
        <f>VLOOKUP(A429,'Data pick slip'!B:F,5,FALSE)</f>
        <v>KHJ-MC100-00</v>
      </c>
      <c r="C429" s="169">
        <v>110181</v>
      </c>
      <c r="D429" s="156" t="e">
        <f>VLOOKUP(C429,Stock_list!D:L,2,FALSE)</f>
        <v>#N/A</v>
      </c>
      <c r="E429" s="160" t="e">
        <f>VLOOKUP(C429,Stock_list!D:L,9,FALSE)</f>
        <v>#N/A</v>
      </c>
      <c r="F429" s="170" t="s">
        <v>379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272</v>
      </c>
      <c r="B430" s="114" t="str">
        <f>VLOOKUP(A430,'Data pick slip'!B:F,5,FALSE)</f>
        <v>KLJ-MC100-00</v>
      </c>
      <c r="C430" s="169"/>
      <c r="D430" s="156"/>
      <c r="E430" s="160" t="s">
        <v>440</v>
      </c>
      <c r="F430" s="170" t="s">
        <v>290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261</v>
      </c>
      <c r="B431" s="114" t="str">
        <f>VLOOKUP(A431,'Data pick slip'!B:F,5,FALSE)</f>
        <v>KHJ-MC100-00</v>
      </c>
      <c r="C431" s="169"/>
      <c r="D431" s="156"/>
      <c r="E431" s="160" t="s">
        <v>441</v>
      </c>
      <c r="F431" s="170" t="s">
        <v>290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261</v>
      </c>
      <c r="B432" s="114" t="str">
        <f>VLOOKUP(A432,'Data pick slip'!B:F,5,FALSE)</f>
        <v>KHJ-MC100-00</v>
      </c>
      <c r="C432" s="169">
        <v>110105</v>
      </c>
      <c r="D432" s="156" t="e">
        <f>VLOOKUP(C432,Stock_list!D:L,2,FALSE)</f>
        <v>#N/A</v>
      </c>
      <c r="E432" s="160" t="e">
        <f>VLOOKUP(C432,Stock_list!D:L,9,FALSE)</f>
        <v>#N/A</v>
      </c>
      <c r="F432" s="170" t="s">
        <v>227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264</v>
      </c>
      <c r="B433" s="114" t="str">
        <f>VLOOKUP(A433,'Data pick slip'!B:F,5,FALSE)</f>
        <v>KHJ-MC200-00</v>
      </c>
      <c r="C433" s="169">
        <v>110105</v>
      </c>
      <c r="D433" s="156" t="e">
        <f>VLOOKUP(C433,Stock_list!D:L,2,FALSE)</f>
        <v>#N/A</v>
      </c>
      <c r="E433" s="160" t="e">
        <f>VLOOKUP(C433,Stock_list!D:L,9,FALSE)</f>
        <v>#N/A</v>
      </c>
      <c r="F433" s="170" t="s">
        <v>227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265</v>
      </c>
      <c r="B434" s="114" t="str">
        <f>VLOOKUP(A434,'Data pick slip'!B:F,5,FALSE)</f>
        <v>KHJ-MC400-00</v>
      </c>
      <c r="C434" s="169">
        <v>110105</v>
      </c>
      <c r="D434" s="156" t="e">
        <f>VLOOKUP(C434,Stock_list!D:L,2,FALSE)</f>
        <v>#N/A</v>
      </c>
      <c r="E434" s="160" t="e">
        <f>VLOOKUP(C434,Stock_list!D:L,9,FALSE)</f>
        <v>#N/A</v>
      </c>
      <c r="F434" s="170" t="s">
        <v>227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268</v>
      </c>
      <c r="B435" s="114" t="str">
        <f>VLOOKUP(A435,'Data pick slip'!B:F,5,FALSE)</f>
        <v>KHJ-MC700-00</v>
      </c>
      <c r="C435" s="169">
        <v>110105</v>
      </c>
      <c r="D435" s="156" t="e">
        <f>VLOOKUP(C435,Stock_list!D:L,2,FALSE)</f>
        <v>#N/A</v>
      </c>
      <c r="E435" s="160" t="e">
        <f>VLOOKUP(C435,Stock_list!D:L,9,FALSE)</f>
        <v>#N/A</v>
      </c>
      <c r="F435" s="170" t="s">
        <v>227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261</v>
      </c>
      <c r="B436" s="114" t="str">
        <f>VLOOKUP(A436,'Data pick slip'!B:F,5,FALSE)</f>
        <v>KHJ-MC100-00</v>
      </c>
      <c r="C436" s="169">
        <v>110106</v>
      </c>
      <c r="D436" s="156" t="e">
        <f>VLOOKUP(C436,Stock_list!D:L,2,FALSE)</f>
        <v>#N/A</v>
      </c>
      <c r="E436" s="160" t="e">
        <f>VLOOKUP(C436,Stock_list!D:L,9,FALSE)</f>
        <v>#N/A</v>
      </c>
      <c r="F436" s="170" t="s">
        <v>227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264</v>
      </c>
      <c r="B437" s="114" t="str">
        <f>VLOOKUP(A437,'Data pick slip'!B:F,5,FALSE)</f>
        <v>KHJ-MC200-00</v>
      </c>
      <c r="C437" s="169">
        <v>110106</v>
      </c>
      <c r="D437" s="156" t="e">
        <f>VLOOKUP(C437,Stock_list!D:L,2,FALSE)</f>
        <v>#N/A</v>
      </c>
      <c r="E437" s="160" t="e">
        <f>VLOOKUP(C437,Stock_list!D:L,9,FALSE)</f>
        <v>#N/A</v>
      </c>
      <c r="F437" s="170" t="s">
        <v>227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261</v>
      </c>
      <c r="B438" s="114" t="str">
        <f>VLOOKUP(A438,'Data pick slip'!B:F,5,FALSE)</f>
        <v>KHJ-MC100-00</v>
      </c>
      <c r="C438" s="169">
        <v>110107</v>
      </c>
      <c r="D438" s="156" t="e">
        <f>VLOOKUP(C438,Stock_list!D:L,2,FALSE)</f>
        <v>#N/A</v>
      </c>
      <c r="E438" s="160" t="e">
        <f>VLOOKUP(C438,Stock_list!D:L,9,FALSE)</f>
        <v>#N/A</v>
      </c>
      <c r="F438" s="170" t="s">
        <v>227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264</v>
      </c>
      <c r="B439" s="114" t="str">
        <f>VLOOKUP(A439,'Data pick slip'!B:F,5,FALSE)</f>
        <v>KHJ-MC200-00</v>
      </c>
      <c r="C439" s="169">
        <v>110107</v>
      </c>
      <c r="D439" s="156" t="e">
        <f>VLOOKUP(C439,Stock_list!D:L,2,FALSE)</f>
        <v>#N/A</v>
      </c>
      <c r="E439" s="160" t="e">
        <f>VLOOKUP(C439,Stock_list!D:L,9,FALSE)</f>
        <v>#N/A</v>
      </c>
      <c r="F439" s="170" t="s">
        <v>227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265</v>
      </c>
      <c r="B440" s="114" t="str">
        <f>VLOOKUP(A440,'Data pick slip'!B:F,5,FALSE)</f>
        <v>KHJ-MC400-00</v>
      </c>
      <c r="C440" s="169">
        <v>110107</v>
      </c>
      <c r="D440" s="156" t="e">
        <f>VLOOKUP(C440,Stock_list!D:L,2,FALSE)</f>
        <v>#N/A</v>
      </c>
      <c r="E440" s="160" t="e">
        <f>VLOOKUP(C440,Stock_list!D:L,9,FALSE)</f>
        <v>#N/A</v>
      </c>
      <c r="F440" s="170" t="s">
        <v>227</v>
      </c>
      <c r="G440" s="283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261</v>
      </c>
      <c r="B441" s="114" t="str">
        <f>VLOOKUP(A441,'Data pick slip'!B:F,5,FALSE)</f>
        <v>KHJ-MC100-00</v>
      </c>
      <c r="C441" s="169">
        <v>110108</v>
      </c>
      <c r="D441" s="156" t="e">
        <f>VLOOKUP(C441,Stock_list!D:L,2,FALSE)</f>
        <v>#N/A</v>
      </c>
      <c r="E441" s="160" t="e">
        <f>VLOOKUP(C441,Stock_list!D:L,9,FALSE)</f>
        <v>#N/A</v>
      </c>
      <c r="F441" s="170" t="s">
        <v>227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264</v>
      </c>
      <c r="B442" s="114" t="str">
        <f>VLOOKUP(A442,'Data pick slip'!B:F,5,FALSE)</f>
        <v>KHJ-MC200-00</v>
      </c>
      <c r="C442" s="169">
        <v>110108</v>
      </c>
      <c r="D442" s="156" t="e">
        <f>VLOOKUP(C442,Stock_list!D:L,2,FALSE)</f>
        <v>#N/A</v>
      </c>
      <c r="E442" s="160" t="e">
        <f>VLOOKUP(C442,Stock_list!D:L,9,FALSE)</f>
        <v>#N/A</v>
      </c>
      <c r="F442" s="170" t="s">
        <v>227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261</v>
      </c>
      <c r="B443" s="114" t="str">
        <f>VLOOKUP(A443,'Data pick slip'!B:F,5,FALSE)</f>
        <v>KHJ-MC100-00</v>
      </c>
      <c r="C443" s="169"/>
      <c r="D443" s="156"/>
      <c r="E443" s="160" t="s">
        <v>442</v>
      </c>
      <c r="F443" s="170" t="s">
        <v>290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264</v>
      </c>
      <c r="B444" s="114" t="str">
        <f>VLOOKUP(A444,'Data pick slip'!B:F,5,FALSE)</f>
        <v>KHJ-MC200-00</v>
      </c>
      <c r="C444" s="169"/>
      <c r="D444" s="156"/>
      <c r="E444" s="160" t="s">
        <v>442</v>
      </c>
      <c r="F444" s="170" t="s">
        <v>290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265</v>
      </c>
      <c r="B445" s="114" t="str">
        <f>VLOOKUP(A445,'Data pick slip'!B:F,5,FALSE)</f>
        <v>KHJ-MC400-00</v>
      </c>
      <c r="C445" s="169"/>
      <c r="D445" s="156"/>
      <c r="E445" s="160" t="s">
        <v>442</v>
      </c>
      <c r="F445" s="170" t="s">
        <v>290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266</v>
      </c>
      <c r="B446" s="114" t="str">
        <f>VLOOKUP(A446,'Data pick slip'!B:F,5,FALSE)</f>
        <v>KHJ-MC500-00</v>
      </c>
      <c r="C446" s="169"/>
      <c r="D446" s="156"/>
      <c r="E446" s="160" t="s">
        <v>442</v>
      </c>
      <c r="F446" s="170" t="s">
        <v>290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267</v>
      </c>
      <c r="B447" s="114" t="str">
        <f>VLOOKUP(A447,'Data pick slip'!B:F,5,FALSE)</f>
        <v>KHJ-MC600-00</v>
      </c>
      <c r="C447" s="169"/>
      <c r="D447" s="156"/>
      <c r="E447" s="160" t="s">
        <v>442</v>
      </c>
      <c r="F447" s="170" t="s">
        <v>290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272</v>
      </c>
      <c r="B448" s="114" t="str">
        <f>VLOOKUP(A448,'Data pick slip'!B:F,5,FALSE)</f>
        <v>KLJ-MC100-00</v>
      </c>
      <c r="C448" s="169" t="s">
        <v>224</v>
      </c>
      <c r="D448" s="156" t="e">
        <f>VLOOKUP(C448,Stock_list!D:L,2,FALSE)</f>
        <v>#N/A</v>
      </c>
      <c r="E448" s="160" t="e">
        <f>VLOOKUP(C448,Stock_list!D:L,9,FALSE)</f>
        <v>#N/A</v>
      </c>
      <c r="F448" s="170" t="s">
        <v>290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261</v>
      </c>
      <c r="B449" s="114" t="str">
        <f>VLOOKUP(A449,'Data pick slip'!B:F,5,FALSE)</f>
        <v>KHJ-MC100-00</v>
      </c>
      <c r="C449" s="169">
        <v>110122</v>
      </c>
      <c r="D449" s="156" t="e">
        <f>VLOOKUP(C449,Stock_list!D:L,2,FALSE)</f>
        <v>#N/A</v>
      </c>
      <c r="E449" s="160" t="e">
        <f>VLOOKUP(C449,Stock_list!D:L,9,FALSE)</f>
        <v>#N/A</v>
      </c>
      <c r="F449" s="170" t="s">
        <v>379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264</v>
      </c>
      <c r="B450" s="114" t="str">
        <f>VLOOKUP(A450,'Data pick slip'!B:F,5,FALSE)</f>
        <v>KHJ-MC200-00</v>
      </c>
      <c r="C450" s="169">
        <v>110122</v>
      </c>
      <c r="D450" s="156" t="e">
        <f>VLOOKUP(C450,Stock_list!D:L,2,FALSE)</f>
        <v>#N/A</v>
      </c>
      <c r="E450" s="160" t="e">
        <f>VLOOKUP(C450,Stock_list!D:L,9,FALSE)</f>
        <v>#N/A</v>
      </c>
      <c r="F450" s="170" t="s">
        <v>379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265</v>
      </c>
      <c r="B451" s="114" t="str">
        <f>VLOOKUP(A451,'Data pick slip'!B:F,5,FALSE)</f>
        <v>KHJ-MC400-00</v>
      </c>
      <c r="C451" s="169">
        <v>110122</v>
      </c>
      <c r="D451" s="156" t="e">
        <f>VLOOKUP(C451,Stock_list!D:L,2,FALSE)</f>
        <v>#N/A</v>
      </c>
      <c r="E451" s="160" t="e">
        <f>VLOOKUP(C451,Stock_list!D:L,9,FALSE)</f>
        <v>#N/A</v>
      </c>
      <c r="F451" s="170" t="s">
        <v>379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269</v>
      </c>
      <c r="B452" s="114" t="str">
        <f>VLOOKUP(A452,'Data pick slip'!B:F,5,FALSE)</f>
        <v>KHJ-MC800-00</v>
      </c>
      <c r="C452" s="169">
        <v>110122</v>
      </c>
      <c r="D452" s="156" t="e">
        <f>VLOOKUP(C452,Stock_list!D:L,2,FALSE)</f>
        <v>#N/A</v>
      </c>
      <c r="E452" s="160" t="e">
        <f>VLOOKUP(C452,Stock_list!D:L,9,FALSE)</f>
        <v>#N/A</v>
      </c>
      <c r="F452" s="170" t="s">
        <v>379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261</v>
      </c>
      <c r="B453" s="114" t="str">
        <f>VLOOKUP(A453,'Data pick slip'!B:F,5,FALSE)</f>
        <v>KHJ-MC100-00</v>
      </c>
      <c r="C453" s="169">
        <v>110199</v>
      </c>
      <c r="D453" s="156" t="e">
        <f>VLOOKUP(C453,Stock_list!D:L,2,FALSE)</f>
        <v>#N/A</v>
      </c>
      <c r="E453" s="160" t="e">
        <f>VLOOKUP(C453,Stock_list!D:L,9,FALSE)</f>
        <v>#N/A</v>
      </c>
      <c r="F453" s="170" t="s">
        <v>227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264</v>
      </c>
      <c r="B454" s="114" t="str">
        <f>VLOOKUP(A454,'Data pick slip'!B:F,5,FALSE)</f>
        <v>KHJ-MC200-00</v>
      </c>
      <c r="C454" s="169">
        <v>110199</v>
      </c>
      <c r="D454" s="156" t="e">
        <f>VLOOKUP(C454,Stock_list!D:L,2,FALSE)</f>
        <v>#N/A</v>
      </c>
      <c r="E454" s="160" t="e">
        <f>VLOOKUP(C454,Stock_list!D:L,9,FALSE)</f>
        <v>#N/A</v>
      </c>
      <c r="F454" s="170" t="s">
        <v>227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261</v>
      </c>
      <c r="B455" s="114" t="str">
        <f>VLOOKUP(A455,'Data pick slip'!B:F,5,FALSE)</f>
        <v>KHJ-MC100-00</v>
      </c>
      <c r="C455" s="169">
        <v>110130</v>
      </c>
      <c r="D455" s="156" t="e">
        <f>VLOOKUP(C455,Stock_list!D:L,2,FALSE)</f>
        <v>#N/A</v>
      </c>
      <c r="E455" s="160" t="e">
        <f>VLOOKUP(C455,Stock_list!D:L,9,FALSE)</f>
        <v>#N/A</v>
      </c>
      <c r="F455" s="170" t="s">
        <v>227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264</v>
      </c>
      <c r="B456" s="114" t="str">
        <f>VLOOKUP(A456,'Data pick slip'!B:F,5,FALSE)</f>
        <v>KHJ-MC200-00</v>
      </c>
      <c r="C456" s="169">
        <v>110130</v>
      </c>
      <c r="D456" s="156" t="e">
        <f>VLOOKUP(C456,Stock_list!D:L,2,FALSE)</f>
        <v>#N/A</v>
      </c>
      <c r="E456" s="160" t="e">
        <f>VLOOKUP(C456,Stock_list!D:L,9,FALSE)</f>
        <v>#N/A</v>
      </c>
      <c r="F456" s="170" t="s">
        <v>227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261</v>
      </c>
      <c r="B457" s="114" t="str">
        <f>VLOOKUP(A457,'Data pick slip'!B:F,5,FALSE)</f>
        <v>KHJ-MC100-00</v>
      </c>
      <c r="C457" s="169">
        <v>110131</v>
      </c>
      <c r="D457" s="156" t="e">
        <f>VLOOKUP(C457,Stock_list!D:L,2,FALSE)</f>
        <v>#N/A</v>
      </c>
      <c r="E457" s="160" t="e">
        <f>VLOOKUP(C457,Stock_list!D:L,9,FALSE)</f>
        <v>#N/A</v>
      </c>
      <c r="F457" s="170" t="s">
        <v>227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261</v>
      </c>
      <c r="B458" s="114" t="str">
        <f>VLOOKUP(A458,'Data pick slip'!B:F,5,FALSE)</f>
        <v>KHJ-MC100-00</v>
      </c>
      <c r="C458" s="169">
        <v>110132</v>
      </c>
      <c r="D458" s="156" t="e">
        <f>VLOOKUP(C458,Stock_list!D:L,2,FALSE)</f>
        <v>#N/A</v>
      </c>
      <c r="E458" s="160" t="e">
        <f>VLOOKUP(C458,Stock_list!D:L,9,FALSE)</f>
        <v>#N/A</v>
      </c>
      <c r="F458" s="170" t="s">
        <v>227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264</v>
      </c>
      <c r="B459" s="114" t="str">
        <f>VLOOKUP(A459,'Data pick slip'!B:F,5,FALSE)</f>
        <v>KHJ-MC200-00</v>
      </c>
      <c r="C459" s="169">
        <v>110132</v>
      </c>
      <c r="D459" s="156" t="e">
        <f>VLOOKUP(C459,Stock_list!D:L,2,FALSE)</f>
        <v>#N/A</v>
      </c>
      <c r="E459" s="160" t="e">
        <f>VLOOKUP(C459,Stock_list!D:L,9,FALSE)</f>
        <v>#N/A</v>
      </c>
      <c r="F459" s="170" t="s">
        <v>227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265</v>
      </c>
      <c r="B460" s="114" t="str">
        <f>VLOOKUP(A460,'Data pick slip'!B:F,5,FALSE)</f>
        <v>KHJ-MC400-00</v>
      </c>
      <c r="C460" s="169">
        <v>110132</v>
      </c>
      <c r="D460" s="156" t="e">
        <f>VLOOKUP(C460,Stock_list!D:L,2,FALSE)</f>
        <v>#N/A</v>
      </c>
      <c r="E460" s="160" t="e">
        <f>VLOOKUP(C460,Stock_list!D:L,9,FALSE)</f>
        <v>#N/A</v>
      </c>
      <c r="F460" s="170" t="s">
        <v>227</v>
      </c>
      <c r="G460" s="283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268</v>
      </c>
      <c r="B461" s="114" t="str">
        <f>VLOOKUP(A461,'Data pick slip'!B:F,5,FALSE)</f>
        <v>KHJ-MC700-00</v>
      </c>
      <c r="C461" s="169">
        <v>110132</v>
      </c>
      <c r="D461" s="156" t="e">
        <f>VLOOKUP(C461,Stock_list!D:L,2,FALSE)</f>
        <v>#N/A</v>
      </c>
      <c r="E461" s="160" t="e">
        <f>VLOOKUP(C461,Stock_list!D:L,9,FALSE)</f>
        <v>#N/A</v>
      </c>
      <c r="F461" s="170" t="s">
        <v>227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261</v>
      </c>
      <c r="B462" s="114" t="str">
        <f>VLOOKUP(A462,'Data pick slip'!B:F,5,FALSE)</f>
        <v>KHJ-MC100-00</v>
      </c>
      <c r="C462" s="169">
        <v>110133</v>
      </c>
      <c r="D462" s="156" t="e">
        <f>VLOOKUP(C462,Stock_list!D:L,2,FALSE)</f>
        <v>#N/A</v>
      </c>
      <c r="E462" s="160" t="e">
        <f>VLOOKUP(C462,Stock_list!D:L,9,FALSE)</f>
        <v>#N/A</v>
      </c>
      <c r="F462" s="170" t="s">
        <v>227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267</v>
      </c>
      <c r="B463" s="114" t="str">
        <f>VLOOKUP(A463,'Data pick slip'!B:F,5,FALSE)</f>
        <v>KHJ-MC600-00</v>
      </c>
      <c r="C463" s="169"/>
      <c r="D463" s="156"/>
      <c r="E463" s="160" t="s">
        <v>443</v>
      </c>
      <c r="F463" s="170" t="s">
        <v>290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264</v>
      </c>
      <c r="B464" s="114" t="str">
        <f>VLOOKUP(A464,'Data pick slip'!B:F,5,FALSE)</f>
        <v>KHJ-MC200-00</v>
      </c>
      <c r="C464" s="169"/>
      <c r="D464" s="156"/>
      <c r="E464" s="160" t="s">
        <v>443</v>
      </c>
      <c r="F464" s="170" t="s">
        <v>290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265</v>
      </c>
      <c r="B465" s="114" t="str">
        <f>VLOOKUP(A465,'Data pick slip'!B:F,5,FALSE)</f>
        <v>KHJ-MC400-00</v>
      </c>
      <c r="C465" s="169"/>
      <c r="D465" s="156"/>
      <c r="E465" s="160" t="s">
        <v>443</v>
      </c>
      <c r="F465" s="170" t="s">
        <v>290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266</v>
      </c>
      <c r="B466" s="114" t="str">
        <f>VLOOKUP(A466,'Data pick slip'!B:F,5,FALSE)</f>
        <v>KHJ-MC500-00</v>
      </c>
      <c r="C466" s="169"/>
      <c r="D466" s="156"/>
      <c r="E466" s="160" t="s">
        <v>443</v>
      </c>
      <c r="F466" s="170" t="s">
        <v>290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261</v>
      </c>
      <c r="B467" s="114" t="str">
        <f>VLOOKUP(A467,'Data pick slip'!B:F,5,FALSE)</f>
        <v>KHJ-MC100-00</v>
      </c>
      <c r="C467" s="169"/>
      <c r="D467" s="156"/>
      <c r="E467" s="160" t="s">
        <v>443</v>
      </c>
      <c r="F467" s="170" t="s">
        <v>290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265</v>
      </c>
      <c r="B468" s="114" t="str">
        <f>VLOOKUP(A468,'Data pick slip'!B:F,5,FALSE)</f>
        <v>KHJ-MC400-00</v>
      </c>
      <c r="C468" s="169"/>
      <c r="D468" s="156"/>
      <c r="E468" s="160" t="s">
        <v>443</v>
      </c>
      <c r="F468" s="170" t="s">
        <v>290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266</v>
      </c>
      <c r="B469" s="114" t="str">
        <f>VLOOKUP(A469,'Data pick slip'!B:F,5,FALSE)</f>
        <v>KHJ-MC500-00</v>
      </c>
      <c r="C469" s="169"/>
      <c r="D469" s="156"/>
      <c r="E469" s="160" t="s">
        <v>443</v>
      </c>
      <c r="F469" s="170" t="s">
        <v>290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267</v>
      </c>
      <c r="B470" s="114" t="str">
        <f>VLOOKUP(A470,'Data pick slip'!B:F,5,FALSE)</f>
        <v>KHJ-MC600-00</v>
      </c>
      <c r="C470" s="169"/>
      <c r="D470" s="156"/>
      <c r="E470" s="160" t="s">
        <v>443</v>
      </c>
      <c r="F470" s="170" t="s">
        <v>290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268</v>
      </c>
      <c r="B471" s="114" t="str">
        <f>VLOOKUP(A471,'Data pick slip'!B:F,5,FALSE)</f>
        <v>KHJ-MC700-00</v>
      </c>
      <c r="C471" s="169"/>
      <c r="D471" s="156"/>
      <c r="E471" s="160" t="s">
        <v>443</v>
      </c>
      <c r="F471" s="170" t="s">
        <v>290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269</v>
      </c>
      <c r="B472" s="114" t="str">
        <f>VLOOKUP(A472,'Data pick slip'!B:F,5,FALSE)</f>
        <v>KHJ-MC800-00</v>
      </c>
      <c r="C472" s="169"/>
      <c r="D472" s="156"/>
      <c r="E472" s="160" t="s">
        <v>443</v>
      </c>
      <c r="F472" s="170" t="s">
        <v>290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261</v>
      </c>
      <c r="B473" s="114" t="str">
        <f>VLOOKUP(A473,'Data pick slip'!B:F,5,FALSE)</f>
        <v>KHJ-MC100-00</v>
      </c>
      <c r="C473" s="169"/>
      <c r="D473" s="156"/>
      <c r="E473" s="160" t="s">
        <v>444</v>
      </c>
      <c r="F473" s="170" t="s">
        <v>290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265</v>
      </c>
      <c r="B474" s="114" t="str">
        <f>VLOOKUP(A474,'Data pick slip'!B:F,5,FALSE)</f>
        <v>KHJ-MC400-00</v>
      </c>
      <c r="C474" s="169"/>
      <c r="D474" s="156"/>
      <c r="E474" s="160" t="s">
        <v>444</v>
      </c>
      <c r="F474" s="170" t="s">
        <v>290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261</v>
      </c>
      <c r="B475" s="114" t="str">
        <f>VLOOKUP(A475,'Data pick slip'!B:F,5,FALSE)</f>
        <v>KHJ-MC100-00</v>
      </c>
      <c r="C475" s="169">
        <v>110150</v>
      </c>
      <c r="D475" s="156" t="e">
        <f>VLOOKUP(C475,Stock_list!D:L,2,FALSE)</f>
        <v>#N/A</v>
      </c>
      <c r="E475" s="160" t="e">
        <f>VLOOKUP(C475,Stock_list!D:L,9,FALSE)</f>
        <v>#N/A</v>
      </c>
      <c r="F475" s="170" t="s">
        <v>227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264</v>
      </c>
      <c r="B476" s="114" t="str">
        <f>VLOOKUP(A476,'Data pick slip'!B:F,5,FALSE)</f>
        <v>KHJ-MC200-00</v>
      </c>
      <c r="C476" s="169">
        <v>110150</v>
      </c>
      <c r="D476" s="156" t="e">
        <f>VLOOKUP(C476,Stock_list!D:L,2,FALSE)</f>
        <v>#N/A</v>
      </c>
      <c r="E476" s="160" t="e">
        <f>VLOOKUP(C476,Stock_list!D:L,9,FALSE)</f>
        <v>#N/A</v>
      </c>
      <c r="F476" s="170" t="s">
        <v>227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261</v>
      </c>
      <c r="B477" s="114" t="str">
        <f>VLOOKUP(A477,'Data pick slip'!B:F,5,FALSE)</f>
        <v>KHJ-MC100-00</v>
      </c>
      <c r="C477" s="169">
        <v>110151</v>
      </c>
      <c r="D477" s="156" t="e">
        <f>VLOOKUP(C477,Stock_list!D:L,2,FALSE)</f>
        <v>#N/A</v>
      </c>
      <c r="E477" s="160" t="e">
        <f>VLOOKUP(C477,Stock_list!D:L,9,FALSE)</f>
        <v>#N/A</v>
      </c>
      <c r="F477" s="170" t="s">
        <v>227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264</v>
      </c>
      <c r="B478" s="114" t="str">
        <f>VLOOKUP(A478,'Data pick slip'!B:F,5,FALSE)</f>
        <v>KHJ-MC200-00</v>
      </c>
      <c r="C478" s="169">
        <v>110151</v>
      </c>
      <c r="D478" s="156" t="e">
        <f>VLOOKUP(C478,Stock_list!D:L,2,FALSE)</f>
        <v>#N/A</v>
      </c>
      <c r="E478" s="160" t="e">
        <f>VLOOKUP(C478,Stock_list!D:L,9,FALSE)</f>
        <v>#N/A</v>
      </c>
      <c r="F478" s="170" t="s">
        <v>227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261</v>
      </c>
      <c r="B479" s="114" t="str">
        <f>VLOOKUP(A479,'Data pick slip'!B:F,5,FALSE)</f>
        <v>KHJ-MC100-00</v>
      </c>
      <c r="C479" s="169">
        <v>110153</v>
      </c>
      <c r="D479" s="156" t="e">
        <f>VLOOKUP(C479,Stock_list!D:L,2,FALSE)</f>
        <v>#N/A</v>
      </c>
      <c r="E479" s="160" t="e">
        <f>VLOOKUP(C479,Stock_list!D:L,9,FALSE)</f>
        <v>#N/A</v>
      </c>
      <c r="F479" s="170" t="s">
        <v>227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264</v>
      </c>
      <c r="B480" s="114" t="str">
        <f>VLOOKUP(A480,'Data pick slip'!B:F,5,FALSE)</f>
        <v>KHJ-MC200-00</v>
      </c>
      <c r="C480" s="169">
        <v>110153</v>
      </c>
      <c r="D480" s="156" t="e">
        <f>VLOOKUP(C480,Stock_list!D:L,2,FALSE)</f>
        <v>#N/A</v>
      </c>
      <c r="E480" s="160" t="e">
        <f>VLOOKUP(C480,Stock_list!D:L,9,FALSE)</f>
        <v>#N/A</v>
      </c>
      <c r="F480" s="170" t="s">
        <v>227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267</v>
      </c>
      <c r="B481" s="114" t="str">
        <f>VLOOKUP(A481,'Data pick slip'!B:F,5,FALSE)</f>
        <v>KHJ-MC600-00</v>
      </c>
      <c r="C481" s="169">
        <v>110153</v>
      </c>
      <c r="D481" s="156" t="e">
        <f>VLOOKUP(C481,Stock_list!D:L,2,FALSE)</f>
        <v>#N/A</v>
      </c>
      <c r="E481" s="160" t="e">
        <f>VLOOKUP(C481,Stock_list!D:L,9,FALSE)</f>
        <v>#N/A</v>
      </c>
      <c r="F481" s="170" t="s">
        <v>227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261</v>
      </c>
      <c r="B482" s="114" t="str">
        <f>VLOOKUP(A482,'Data pick slip'!B:F,5,FALSE)</f>
        <v>KHJ-MC100-00</v>
      </c>
      <c r="C482" s="169">
        <v>110158</v>
      </c>
      <c r="D482" s="156" t="e">
        <f>VLOOKUP(C482,Stock_list!D:L,2,FALSE)</f>
        <v>#N/A</v>
      </c>
      <c r="E482" s="160" t="e">
        <f>VLOOKUP(C482,Stock_list!D:L,9,FALSE)</f>
        <v>#N/A</v>
      </c>
      <c r="F482" s="170" t="s">
        <v>379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264</v>
      </c>
      <c r="B483" s="114" t="str">
        <f>VLOOKUP(A483,'Data pick slip'!B:F,5,FALSE)</f>
        <v>KHJ-MC200-00</v>
      </c>
      <c r="C483" s="169">
        <v>110158</v>
      </c>
      <c r="D483" s="156" t="e">
        <f>VLOOKUP(C483,Stock_list!D:L,2,FALSE)</f>
        <v>#N/A</v>
      </c>
      <c r="E483" s="160" t="e">
        <f>VLOOKUP(C483,Stock_list!D:L,9,FALSE)</f>
        <v>#N/A</v>
      </c>
      <c r="F483" s="170" t="s">
        <v>379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266</v>
      </c>
      <c r="B484" s="114" t="str">
        <f>VLOOKUP(A484,'Data pick slip'!B:F,5,FALSE)</f>
        <v>KHJ-MC500-00</v>
      </c>
      <c r="C484" s="169">
        <v>110158</v>
      </c>
      <c r="D484" s="156" t="e">
        <f>VLOOKUP(C484,Stock_list!D:L,2,FALSE)</f>
        <v>#N/A</v>
      </c>
      <c r="E484" s="160" t="e">
        <f>VLOOKUP(C484,Stock_list!D:L,9,FALSE)</f>
        <v>#N/A</v>
      </c>
      <c r="F484" s="170" t="s">
        <v>379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261</v>
      </c>
      <c r="B485" s="114" t="str">
        <f>VLOOKUP(A485,'Data pick slip'!B:F,5,FALSE)</f>
        <v>KHJ-MC100-00</v>
      </c>
      <c r="C485" s="169">
        <v>110159</v>
      </c>
      <c r="D485" s="156" t="e">
        <f>VLOOKUP(C485,Stock_list!D:L,2,FALSE)</f>
        <v>#N/A</v>
      </c>
      <c r="E485" s="160" t="e">
        <f>VLOOKUP(C485,Stock_list!D:L,9,FALSE)</f>
        <v>#N/A</v>
      </c>
      <c r="F485" s="170" t="s">
        <v>379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264</v>
      </c>
      <c r="B486" s="114" t="str">
        <f>VLOOKUP(A486,'Data pick slip'!B:F,5,FALSE)</f>
        <v>KHJ-MC200-00</v>
      </c>
      <c r="C486" s="169">
        <v>110159</v>
      </c>
      <c r="D486" s="156" t="e">
        <f>VLOOKUP(C486,Stock_list!D:L,2,FALSE)</f>
        <v>#N/A</v>
      </c>
      <c r="E486" s="160" t="e">
        <f>VLOOKUP(C486,Stock_list!D:L,9,FALSE)</f>
        <v>#N/A</v>
      </c>
      <c r="F486" s="170" t="s">
        <v>379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261</v>
      </c>
      <c r="B487" s="114" t="str">
        <f>VLOOKUP(A487,'Data pick slip'!B:F,5,FALSE)</f>
        <v>KHJ-MC100-00</v>
      </c>
      <c r="C487" s="169"/>
      <c r="D487" s="156"/>
      <c r="E487" s="160" t="s">
        <v>445</v>
      </c>
      <c r="F487" s="170" t="s">
        <v>290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264</v>
      </c>
      <c r="B488" s="114" t="str">
        <f>VLOOKUP(A488,'Data pick slip'!B:F,5,FALSE)</f>
        <v>KHJ-MC200-00</v>
      </c>
      <c r="C488" s="169"/>
      <c r="D488" s="156"/>
      <c r="E488" s="160" t="s">
        <v>445</v>
      </c>
      <c r="F488" s="170" t="s">
        <v>290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266</v>
      </c>
      <c r="B489" s="114" t="str">
        <f>VLOOKUP(A489,'Data pick slip'!B:F,5,FALSE)</f>
        <v>KHJ-MC500-00</v>
      </c>
      <c r="C489" s="169"/>
      <c r="D489" s="156"/>
      <c r="E489" s="160" t="s">
        <v>445</v>
      </c>
      <c r="F489" s="170" t="s">
        <v>290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261</v>
      </c>
      <c r="B490" s="114" t="str">
        <f>VLOOKUP(A490,'Data pick slip'!B:F,5,FALSE)</f>
        <v>KHJ-MC100-00</v>
      </c>
      <c r="C490" s="169">
        <v>110172</v>
      </c>
      <c r="D490" s="156" t="e">
        <f>VLOOKUP(C490,Stock_list!D:L,2,FALSE)</f>
        <v>#N/A</v>
      </c>
      <c r="E490" s="160" t="e">
        <f>VLOOKUP(C490,Stock_list!D:L,9,FALSE)</f>
        <v>#N/A</v>
      </c>
      <c r="F490" s="170" t="s">
        <v>227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261</v>
      </c>
      <c r="B491" s="114" t="str">
        <f>VLOOKUP(A491,'Data pick slip'!B:F,5,FALSE)</f>
        <v>KHJ-MC100-00</v>
      </c>
      <c r="C491" s="169">
        <v>110173</v>
      </c>
      <c r="D491" s="156" t="e">
        <f>VLOOKUP(C491,Stock_list!D:L,2,FALSE)</f>
        <v>#N/A</v>
      </c>
      <c r="E491" s="160" t="e">
        <f>VLOOKUP(C491,Stock_list!D:L,9,FALSE)</f>
        <v>#N/A</v>
      </c>
      <c r="F491" s="170" t="s">
        <v>227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261</v>
      </c>
      <c r="B492" s="114" t="str">
        <f>VLOOKUP(A492,'Data pick slip'!B:F,5,FALSE)</f>
        <v>KHJ-MC100-00</v>
      </c>
      <c r="C492" s="169">
        <v>110174</v>
      </c>
      <c r="D492" s="156" t="e">
        <f>VLOOKUP(C492,Stock_list!D:L,2,FALSE)</f>
        <v>#N/A</v>
      </c>
      <c r="E492" s="160" t="e">
        <f>VLOOKUP(C492,Stock_list!D:L,9,FALSE)</f>
        <v>#N/A</v>
      </c>
      <c r="F492" s="170" t="s">
        <v>227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264</v>
      </c>
      <c r="B493" s="114" t="str">
        <f>VLOOKUP(A493,'Data pick slip'!B:F,5,FALSE)</f>
        <v>KHJ-MC200-00</v>
      </c>
      <c r="C493" s="169">
        <v>110174</v>
      </c>
      <c r="D493" s="156" t="e">
        <f>VLOOKUP(C493,Stock_list!D:L,2,FALSE)</f>
        <v>#N/A</v>
      </c>
      <c r="E493" s="160" t="e">
        <f>VLOOKUP(C493,Stock_list!D:L,9,FALSE)</f>
        <v>#N/A</v>
      </c>
      <c r="F493" s="170" t="s">
        <v>227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261</v>
      </c>
      <c r="B494" s="114" t="str">
        <f>VLOOKUP(A494,'Data pick slip'!B:F,5,FALSE)</f>
        <v>KHJ-MC100-00</v>
      </c>
      <c r="C494" s="169">
        <v>110175</v>
      </c>
      <c r="D494" s="156" t="e">
        <f>VLOOKUP(C494,Stock_list!D:L,2,FALSE)</f>
        <v>#N/A</v>
      </c>
      <c r="E494" s="160" t="e">
        <f>VLOOKUP(C494,Stock_list!D:L,9,FALSE)</f>
        <v>#N/A</v>
      </c>
      <c r="F494" s="170" t="s">
        <v>227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264</v>
      </c>
      <c r="B495" s="114" t="str">
        <f>VLOOKUP(A495,'Data pick slip'!B:F,5,FALSE)</f>
        <v>KHJ-MC200-00</v>
      </c>
      <c r="C495" s="169">
        <v>110175</v>
      </c>
      <c r="D495" s="156" t="e">
        <f>VLOOKUP(C495,Stock_list!D:L,2,FALSE)</f>
        <v>#N/A</v>
      </c>
      <c r="E495" s="160" t="e">
        <f>VLOOKUP(C495,Stock_list!D:L,9,FALSE)</f>
        <v>#N/A</v>
      </c>
      <c r="F495" s="170" t="s">
        <v>227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261</v>
      </c>
      <c r="B496" s="114" t="str">
        <f>VLOOKUP(A496,'Data pick slip'!B:F,5,FALSE)</f>
        <v>KHJ-MC100-00</v>
      </c>
      <c r="C496" s="169">
        <v>110176</v>
      </c>
      <c r="D496" s="156" t="e">
        <f>VLOOKUP(C496,Stock_list!D:L,2,FALSE)</f>
        <v>#N/A</v>
      </c>
      <c r="E496" s="160" t="e">
        <f>VLOOKUP(C496,Stock_list!D:L,9,FALSE)</f>
        <v>#N/A</v>
      </c>
      <c r="F496" s="170" t="s">
        <v>227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264</v>
      </c>
      <c r="B497" s="114" t="str">
        <f>VLOOKUP(A497,'Data pick slip'!B:F,5,FALSE)</f>
        <v>KHJ-MC200-00</v>
      </c>
      <c r="C497" s="169">
        <v>110176</v>
      </c>
      <c r="D497" s="156" t="e">
        <f>VLOOKUP(C497,Stock_list!D:L,2,FALSE)</f>
        <v>#N/A</v>
      </c>
      <c r="E497" s="160" t="e">
        <f>VLOOKUP(C497,Stock_list!D:L,9,FALSE)</f>
        <v>#N/A</v>
      </c>
      <c r="F497" s="170" t="s">
        <v>227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272</v>
      </c>
      <c r="B498" s="114" t="str">
        <f>VLOOKUP(A498,'Data pick slip'!B:F,5,FALSE)</f>
        <v>KLJ-MC100-00</v>
      </c>
      <c r="C498" s="169">
        <v>110287</v>
      </c>
      <c r="D498" s="156" t="e">
        <f>VLOOKUP(C498,Stock_list!D:L,2,FALSE)</f>
        <v>#N/A</v>
      </c>
      <c r="E498" s="160" t="e">
        <f>VLOOKUP(C498,Stock_list!D:L,9,FALSE)</f>
        <v>#N/A</v>
      </c>
      <c r="F498" s="170" t="s">
        <v>227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273</v>
      </c>
      <c r="B499" s="114" t="str">
        <f>VLOOKUP(A499,'Data pick slip'!B:F,5,FALSE)</f>
        <v>KLJ-MC200-00</v>
      </c>
      <c r="C499" s="169">
        <v>110287</v>
      </c>
      <c r="D499" s="156" t="e">
        <f>VLOOKUP(C499,Stock_list!D:L,2,FALSE)</f>
        <v>#N/A</v>
      </c>
      <c r="E499" s="160" t="e">
        <f>VLOOKUP(C499,Stock_list!D:L,9,FALSE)</f>
        <v>#N/A</v>
      </c>
      <c r="F499" s="170" t="s">
        <v>227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274</v>
      </c>
      <c r="B500" s="114" t="str">
        <f>VLOOKUP(A500,'Data pick slip'!B:F,5,FALSE)</f>
        <v>KLJ-MC400-00</v>
      </c>
      <c r="C500" s="169">
        <v>110287</v>
      </c>
      <c r="D500" s="156" t="e">
        <f>VLOOKUP(C500,Stock_list!D:L,2,FALSE)</f>
        <v>#N/A</v>
      </c>
      <c r="E500" s="160" t="e">
        <f>VLOOKUP(C500,Stock_list!D:L,9,FALSE)</f>
        <v>#N/A</v>
      </c>
      <c r="F500" s="170" t="s">
        <v>227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</v>
      </c>
      <c r="B501" s="114" t="str">
        <f>VLOOKUP(A501,'Data pick slip'!B:F,5,FALSE)</f>
        <v>KLJ-MC500-00</v>
      </c>
      <c r="C501" s="169">
        <v>110287</v>
      </c>
      <c r="D501" s="156" t="e">
        <f>VLOOKUP(C501,Stock_list!D:L,2,FALSE)</f>
        <v>#N/A</v>
      </c>
      <c r="E501" s="160" t="e">
        <f>VLOOKUP(C501,Stock_list!D:L,9,FALSE)</f>
        <v>#N/A</v>
      </c>
      <c r="F501" s="170" t="s">
        <v>227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276</v>
      </c>
      <c r="B502" s="114" t="str">
        <f>VLOOKUP(A502,'Data pick slip'!B:F,5,FALSE)</f>
        <v>KLJ-MC600-00</v>
      </c>
      <c r="C502" s="169">
        <v>110287</v>
      </c>
      <c r="D502" s="156" t="e">
        <f>VLOOKUP(C502,Stock_list!D:L,2,FALSE)</f>
        <v>#N/A</v>
      </c>
      <c r="E502" s="160" t="e">
        <f>VLOOKUP(C502,Stock_list!D:L,9,FALSE)</f>
        <v>#N/A</v>
      </c>
      <c r="F502" s="170" t="s">
        <v>227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261</v>
      </c>
      <c r="B503" s="114" t="str">
        <f>VLOOKUP(A503,'Data pick slip'!B:F,5,FALSE)</f>
        <v>KHJ-MC100-00</v>
      </c>
      <c r="C503" s="169">
        <v>110211</v>
      </c>
      <c r="D503" s="156" t="e">
        <f>VLOOKUP(C503,Stock_list!D:L,2,FALSE)</f>
        <v>#N/A</v>
      </c>
      <c r="E503" s="160" t="e">
        <f>VLOOKUP(C503,Stock_list!D:L,9,FALSE)</f>
        <v>#N/A</v>
      </c>
      <c r="F503" s="170" t="s">
        <v>227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264</v>
      </c>
      <c r="B504" s="114" t="str">
        <f>VLOOKUP(A504,'Data pick slip'!B:F,5,FALSE)</f>
        <v>KHJ-MC200-00</v>
      </c>
      <c r="C504" s="169">
        <v>110211</v>
      </c>
      <c r="D504" s="156" t="e">
        <f>VLOOKUP(C504,Stock_list!D:L,2,FALSE)</f>
        <v>#N/A</v>
      </c>
      <c r="E504" s="160" t="e">
        <f>VLOOKUP(C504,Stock_list!D:L,9,FALSE)</f>
        <v>#N/A</v>
      </c>
      <c r="F504" s="170" t="s">
        <v>227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265</v>
      </c>
      <c r="B505" s="114" t="str">
        <f>VLOOKUP(A505,'Data pick slip'!B:F,5,FALSE)</f>
        <v>KHJ-MC400-00</v>
      </c>
      <c r="C505" s="169">
        <v>110211</v>
      </c>
      <c r="D505" s="156" t="e">
        <f>VLOOKUP(C505,Stock_list!D:L,2,FALSE)</f>
        <v>#N/A</v>
      </c>
      <c r="E505" s="160" t="e">
        <f>VLOOKUP(C505,Stock_list!D:L,9,FALSE)</f>
        <v>#N/A</v>
      </c>
      <c r="F505" s="170" t="s">
        <v>227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266</v>
      </c>
      <c r="B506" s="114" t="str">
        <f>VLOOKUP(A506,'Data pick slip'!B:F,5,FALSE)</f>
        <v>KHJ-MC500-00</v>
      </c>
      <c r="C506" s="169">
        <v>110211</v>
      </c>
      <c r="D506" s="156" t="e">
        <f>VLOOKUP(C506,Stock_list!D:L,2,FALSE)</f>
        <v>#N/A</v>
      </c>
      <c r="E506" s="160" t="e">
        <f>VLOOKUP(C506,Stock_list!D:L,9,FALSE)</f>
        <v>#N/A</v>
      </c>
      <c r="F506" s="170" t="s">
        <v>227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267</v>
      </c>
      <c r="B507" s="114" t="str">
        <f>VLOOKUP(A507,'Data pick slip'!B:F,5,FALSE)</f>
        <v>KHJ-MC600-00</v>
      </c>
      <c r="C507" s="169">
        <v>110211</v>
      </c>
      <c r="D507" s="156" t="e">
        <f>VLOOKUP(C507,Stock_list!D:L,2,FALSE)</f>
        <v>#N/A</v>
      </c>
      <c r="E507" s="160" t="e">
        <f>VLOOKUP(C507,Stock_list!D:L,9,FALSE)</f>
        <v>#N/A</v>
      </c>
      <c r="F507" s="170" t="s">
        <v>227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268</v>
      </c>
      <c r="B508" s="114" t="str">
        <f>VLOOKUP(A508,'Data pick slip'!B:F,5,FALSE)</f>
        <v>KHJ-MC700-00</v>
      </c>
      <c r="C508" s="169">
        <v>110211</v>
      </c>
      <c r="D508" s="156" t="e">
        <f>VLOOKUP(C508,Stock_list!D:L,2,FALSE)</f>
        <v>#N/A</v>
      </c>
      <c r="E508" s="160" t="e">
        <f>VLOOKUP(C508,Stock_list!D:L,9,FALSE)</f>
        <v>#N/A</v>
      </c>
      <c r="F508" s="170" t="s">
        <v>227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269</v>
      </c>
      <c r="B509" s="114" t="str">
        <f>VLOOKUP(A509,'Data pick slip'!B:F,5,FALSE)</f>
        <v>KHJ-MC800-00</v>
      </c>
      <c r="C509" s="169">
        <v>110211</v>
      </c>
      <c r="D509" s="156" t="e">
        <f>VLOOKUP(C509,Stock_list!D:L,2,FALSE)</f>
        <v>#N/A</v>
      </c>
      <c r="E509" s="160" t="e">
        <f>VLOOKUP(C509,Stock_list!D:L,9,FALSE)</f>
        <v>#N/A</v>
      </c>
      <c r="F509" s="170" t="s">
        <v>227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261</v>
      </c>
      <c r="B510" s="114" t="str">
        <f>VLOOKUP(A510,'Data pick slip'!B:F,5,FALSE)</f>
        <v>KHJ-MC100-00</v>
      </c>
      <c r="C510" s="169">
        <v>110212</v>
      </c>
      <c r="D510" s="156" t="e">
        <f>VLOOKUP(C510,Stock_list!D:L,2,FALSE)</f>
        <v>#N/A</v>
      </c>
      <c r="E510" s="160" t="e">
        <f>VLOOKUP(C510,Stock_list!D:L,9,FALSE)</f>
        <v>#N/A</v>
      </c>
      <c r="F510" s="170" t="s">
        <v>227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264</v>
      </c>
      <c r="B511" s="114" t="str">
        <f>VLOOKUP(A511,'Data pick slip'!B:F,5,FALSE)</f>
        <v>KHJ-MC200-00</v>
      </c>
      <c r="C511" s="169">
        <v>110212</v>
      </c>
      <c r="D511" s="156" t="e">
        <f>VLOOKUP(C511,Stock_list!D:L,2,FALSE)</f>
        <v>#N/A</v>
      </c>
      <c r="E511" s="160" t="e">
        <f>VLOOKUP(C511,Stock_list!D:L,9,FALSE)</f>
        <v>#N/A</v>
      </c>
      <c r="F511" s="170" t="s">
        <v>227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264</v>
      </c>
      <c r="B512" s="114" t="str">
        <f>VLOOKUP(A512,'Data pick slip'!B:F,5,FALSE)</f>
        <v>KHJ-MC200-00</v>
      </c>
      <c r="C512" s="169"/>
      <c r="D512" s="156"/>
      <c r="E512" s="141" t="s">
        <v>446</v>
      </c>
      <c r="F512" s="170" t="s">
        <v>290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439</v>
      </c>
      <c r="B513" s="114" t="e">
        <f>VLOOKUP(A513,'Data pick slip'!B:F,5,FALSE)</f>
        <v>#N/A</v>
      </c>
      <c r="C513" s="169"/>
      <c r="D513" s="156"/>
      <c r="E513" s="141" t="s">
        <v>446</v>
      </c>
      <c r="F513" s="170" t="s">
        <v>290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261</v>
      </c>
      <c r="B514" s="114" t="str">
        <f>VLOOKUP(A514,'Data pick slip'!B:F,5,FALSE)</f>
        <v>KHJ-MC100-00</v>
      </c>
      <c r="C514" s="169"/>
      <c r="D514" s="156"/>
      <c r="E514" s="141" t="s">
        <v>447</v>
      </c>
      <c r="F514" s="170" t="s">
        <v>290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264</v>
      </c>
      <c r="B515" s="114" t="str">
        <f>VLOOKUP(A515,'Data pick slip'!B:F,5,FALSE)</f>
        <v>KHJ-MC200-00</v>
      </c>
      <c r="C515" s="169"/>
      <c r="D515" s="156"/>
      <c r="E515" s="141" t="s">
        <v>447</v>
      </c>
      <c r="F515" s="170" t="s">
        <v>290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261</v>
      </c>
      <c r="B516" s="114" t="str">
        <f>VLOOKUP(A516,'Data pick slip'!B:F,5,FALSE)</f>
        <v>KHJ-MC100-00</v>
      </c>
      <c r="C516" s="169"/>
      <c r="D516" s="156"/>
      <c r="E516" s="141" t="s">
        <v>447</v>
      </c>
      <c r="F516" s="170" t="s">
        <v>290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264</v>
      </c>
      <c r="B517" s="114" t="str">
        <f>VLOOKUP(A517,'Data pick slip'!B:F,5,FALSE)</f>
        <v>KHJ-MC200-00</v>
      </c>
      <c r="C517" s="169"/>
      <c r="D517" s="156"/>
      <c r="E517" s="141" t="s">
        <v>447</v>
      </c>
      <c r="F517" s="170" t="s">
        <v>290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439</v>
      </c>
      <c r="B518" s="114" t="e">
        <f>VLOOKUP(A518,'Data pick slip'!B:F,5,FALSE)</f>
        <v>#N/A</v>
      </c>
      <c r="C518" s="169"/>
      <c r="D518" s="156"/>
      <c r="E518" s="141" t="s">
        <v>447</v>
      </c>
      <c r="F518" s="170" t="s">
        <v>290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261</v>
      </c>
      <c r="B519" s="114" t="str">
        <f>VLOOKUP(A519,'Data pick slip'!B:F,5,FALSE)</f>
        <v>KHJ-MC100-00</v>
      </c>
      <c r="C519" s="169"/>
      <c r="D519" s="156"/>
      <c r="E519" s="141" t="s">
        <v>448</v>
      </c>
      <c r="F519" s="170" t="s">
        <v>290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265</v>
      </c>
      <c r="B520" s="114" t="str">
        <f>VLOOKUP(A520,'Data pick slip'!B:F,5,FALSE)</f>
        <v>KHJ-MC400-00</v>
      </c>
      <c r="C520" s="169"/>
      <c r="D520" s="156"/>
      <c r="E520" s="141" t="s">
        <v>448</v>
      </c>
      <c r="F520" s="170" t="s">
        <v>290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266</v>
      </c>
      <c r="B521" s="114" t="str">
        <f>VLOOKUP(A521,'Data pick slip'!B:F,5,FALSE)</f>
        <v>KHJ-MC500-00</v>
      </c>
      <c r="C521" s="169"/>
      <c r="D521" s="156"/>
      <c r="E521" s="141" t="s">
        <v>448</v>
      </c>
      <c r="F521" s="170" t="s">
        <v>290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268</v>
      </c>
      <c r="B522" s="114" t="str">
        <f>VLOOKUP(A522,'Data pick slip'!B:F,5,FALSE)</f>
        <v>KHJ-MC700-00</v>
      </c>
      <c r="C522" s="169"/>
      <c r="D522" s="156"/>
      <c r="E522" s="141" t="s">
        <v>448</v>
      </c>
      <c r="F522" s="170" t="s">
        <v>290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261</v>
      </c>
      <c r="B523" s="114" t="str">
        <f>VLOOKUP(A523,'Data pick slip'!B:F,5,FALSE)</f>
        <v>KHJ-MC100-00</v>
      </c>
      <c r="C523" s="169">
        <v>110227</v>
      </c>
      <c r="D523" s="156" t="e">
        <f>VLOOKUP(C523,Stock_list!D:L,2,FALSE)</f>
        <v>#N/A</v>
      </c>
      <c r="E523" s="160" t="e">
        <f>VLOOKUP(C523,Stock_list!D:L,9,FALSE)</f>
        <v>#N/A</v>
      </c>
      <c r="F523" s="170" t="s">
        <v>227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264</v>
      </c>
      <c r="B524" s="114" t="str">
        <f>VLOOKUP(A524,'Data pick slip'!B:F,5,FALSE)</f>
        <v>KHJ-MC200-00</v>
      </c>
      <c r="C524" s="169">
        <v>110227</v>
      </c>
      <c r="D524" s="156" t="e">
        <f>VLOOKUP(C524,Stock_list!D:L,2,FALSE)</f>
        <v>#N/A</v>
      </c>
      <c r="E524" s="160" t="e">
        <f>VLOOKUP(C524,Stock_list!D:L,9,FALSE)</f>
        <v>#N/A</v>
      </c>
      <c r="F524" s="170" t="s">
        <v>227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265</v>
      </c>
      <c r="B525" s="114" t="str">
        <f>VLOOKUP(A525,'Data pick slip'!B:F,5,FALSE)</f>
        <v>KHJ-MC400-00</v>
      </c>
      <c r="C525" s="169">
        <v>110227</v>
      </c>
      <c r="D525" s="156" t="e">
        <f>VLOOKUP(C525,Stock_list!D:L,2,FALSE)</f>
        <v>#N/A</v>
      </c>
      <c r="E525" s="160" t="e">
        <f>VLOOKUP(C525,Stock_list!D:L,9,FALSE)</f>
        <v>#N/A</v>
      </c>
      <c r="F525" s="170" t="s">
        <v>227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266</v>
      </c>
      <c r="B526" s="114" t="str">
        <f>VLOOKUP(A526,'Data pick slip'!B:F,5,FALSE)</f>
        <v>KHJ-MC500-00</v>
      </c>
      <c r="C526" s="169">
        <v>110227</v>
      </c>
      <c r="D526" s="156" t="e">
        <f>VLOOKUP(C526,Stock_list!D:L,2,FALSE)</f>
        <v>#N/A</v>
      </c>
      <c r="E526" s="160" t="e">
        <f>VLOOKUP(C526,Stock_list!D:L,9,FALSE)</f>
        <v>#N/A</v>
      </c>
      <c r="F526" s="170" t="s">
        <v>227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267</v>
      </c>
      <c r="B527" s="114" t="str">
        <f>VLOOKUP(A527,'Data pick slip'!B:F,5,FALSE)</f>
        <v>KHJ-MC600-00</v>
      </c>
      <c r="C527" s="169">
        <v>110227</v>
      </c>
      <c r="D527" s="156" t="e">
        <f>VLOOKUP(C527,Stock_list!D:L,2,FALSE)</f>
        <v>#N/A</v>
      </c>
      <c r="E527" s="160" t="e">
        <f>VLOOKUP(C527,Stock_list!D:L,9,FALSE)</f>
        <v>#N/A</v>
      </c>
      <c r="F527" s="170" t="s">
        <v>227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268</v>
      </c>
      <c r="B528" s="114" t="str">
        <f>VLOOKUP(A528,'Data pick slip'!B:F,5,FALSE)</f>
        <v>KHJ-MC700-00</v>
      </c>
      <c r="C528" s="169">
        <v>110227</v>
      </c>
      <c r="D528" s="156" t="e">
        <f>VLOOKUP(C528,Stock_list!D:L,2,FALSE)</f>
        <v>#N/A</v>
      </c>
      <c r="E528" s="160" t="e">
        <f>VLOOKUP(C528,Stock_list!D:L,9,FALSE)</f>
        <v>#N/A</v>
      </c>
      <c r="F528" s="170" t="s">
        <v>227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261</v>
      </c>
      <c r="B529" s="114" t="str">
        <f>VLOOKUP(A529,'Data pick slip'!B:F,5,FALSE)</f>
        <v>KHJ-MC100-00</v>
      </c>
      <c r="C529" s="169">
        <v>110228</v>
      </c>
      <c r="D529" s="156" t="e">
        <f>VLOOKUP(C529,Stock_list!D:L,2,FALSE)</f>
        <v>#N/A</v>
      </c>
      <c r="E529" s="160" t="e">
        <f>VLOOKUP(C529,Stock_list!D:L,9,FALSE)</f>
        <v>#N/A</v>
      </c>
      <c r="F529" s="170" t="s">
        <v>227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264</v>
      </c>
      <c r="B530" s="114" t="str">
        <f>VLOOKUP(A530,'Data pick slip'!B:F,5,FALSE)</f>
        <v>KHJ-MC200-00</v>
      </c>
      <c r="C530" s="169">
        <v>110228</v>
      </c>
      <c r="D530" s="156" t="e">
        <f>VLOOKUP(C530,Stock_list!D:L,2,FALSE)</f>
        <v>#N/A</v>
      </c>
      <c r="E530" s="160" t="e">
        <f>VLOOKUP(C530,Stock_list!D:L,9,FALSE)</f>
        <v>#N/A</v>
      </c>
      <c r="F530" s="170" t="s">
        <v>227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261</v>
      </c>
      <c r="B531" s="114" t="str">
        <f>VLOOKUP(A531,'Data pick slip'!B:F,5,FALSE)</f>
        <v>KHJ-MC100-00</v>
      </c>
      <c r="C531" s="169">
        <v>110348</v>
      </c>
      <c r="D531" s="156" t="e">
        <f>VLOOKUP(C531,Stock_list!D:L,2,FALSE)</f>
        <v>#N/A</v>
      </c>
      <c r="E531" s="160" t="e">
        <f>VLOOKUP(C531,Stock_list!D:L,9,FALSE)</f>
        <v>#N/A</v>
      </c>
      <c r="F531" s="170" t="s">
        <v>227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264</v>
      </c>
      <c r="B532" s="114" t="str">
        <f>VLOOKUP(A532,'Data pick slip'!B:F,5,FALSE)</f>
        <v>KHJ-MC200-00</v>
      </c>
      <c r="C532" s="169">
        <v>110348</v>
      </c>
      <c r="D532" s="156" t="e">
        <f>VLOOKUP(C532,Stock_list!D:L,2,FALSE)</f>
        <v>#N/A</v>
      </c>
      <c r="E532" s="160" t="e">
        <f>VLOOKUP(C532,Stock_list!D:L,9,FALSE)</f>
        <v>#N/A</v>
      </c>
      <c r="F532" s="170" t="s">
        <v>227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265</v>
      </c>
      <c r="B533" s="114" t="str">
        <f>VLOOKUP(A533,'Data pick slip'!B:F,5,FALSE)</f>
        <v>KHJ-MC400-00</v>
      </c>
      <c r="C533" s="169">
        <v>110348</v>
      </c>
      <c r="D533" s="156" t="e">
        <f>VLOOKUP(C533,Stock_list!D:L,2,FALSE)</f>
        <v>#N/A</v>
      </c>
      <c r="E533" s="160" t="e">
        <f>VLOOKUP(C533,Stock_list!D:L,9,FALSE)</f>
        <v>#N/A</v>
      </c>
      <c r="F533" s="170" t="s">
        <v>227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261</v>
      </c>
      <c r="B534" s="114" t="str">
        <f>VLOOKUP(A534,'Data pick slip'!B:F,5,FALSE)</f>
        <v>KHJ-MC100-00</v>
      </c>
      <c r="C534" s="169">
        <v>110236</v>
      </c>
      <c r="D534" s="156" t="e">
        <f>VLOOKUP(C534,Stock_list!D:L,2,FALSE)</f>
        <v>#N/A</v>
      </c>
      <c r="E534" s="160" t="e">
        <f>VLOOKUP(C534,Stock_list!D:L,9,FALSE)</f>
        <v>#N/A</v>
      </c>
      <c r="F534" s="170" t="s">
        <v>227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264</v>
      </c>
      <c r="B535" s="114" t="str">
        <f>VLOOKUP(A535,'Data pick slip'!B:F,5,FALSE)</f>
        <v>KHJ-MC200-00</v>
      </c>
      <c r="C535" s="169">
        <v>110236</v>
      </c>
      <c r="D535" s="156" t="e">
        <f>VLOOKUP(C535,Stock_list!D:L,2,FALSE)</f>
        <v>#N/A</v>
      </c>
      <c r="E535" s="160" t="e">
        <f>VLOOKUP(C535,Stock_list!D:L,9,FALSE)</f>
        <v>#N/A</v>
      </c>
      <c r="F535" s="170" t="s">
        <v>227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265</v>
      </c>
      <c r="B536" s="114" t="str">
        <f>VLOOKUP(A536,'Data pick slip'!B:F,5,FALSE)</f>
        <v>KHJ-MC400-00</v>
      </c>
      <c r="C536" s="169">
        <v>110236</v>
      </c>
      <c r="D536" s="156" t="e">
        <f>VLOOKUP(C536,Stock_list!D:L,2,FALSE)</f>
        <v>#N/A</v>
      </c>
      <c r="E536" s="160" t="e">
        <f>VLOOKUP(C536,Stock_list!D:L,9,FALSE)</f>
        <v>#N/A</v>
      </c>
      <c r="F536" s="170" t="s">
        <v>227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261</v>
      </c>
      <c r="B537" s="114" t="str">
        <f>VLOOKUP(A537,'Data pick slip'!B:F,5,FALSE)</f>
        <v>KHJ-MC100-00</v>
      </c>
      <c r="C537" s="169">
        <v>110237</v>
      </c>
      <c r="D537" s="156" t="e">
        <f>VLOOKUP(C537,Stock_list!D:L,2,FALSE)</f>
        <v>#N/A</v>
      </c>
      <c r="E537" s="160" t="e">
        <f>VLOOKUP(C537,Stock_list!D:L,9,FALSE)</f>
        <v>#N/A</v>
      </c>
      <c r="F537" s="170" t="s">
        <v>227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264</v>
      </c>
      <c r="B538" s="114" t="str">
        <f>VLOOKUP(A538,'Data pick slip'!B:F,5,FALSE)</f>
        <v>KHJ-MC200-00</v>
      </c>
      <c r="C538" s="169">
        <v>110237</v>
      </c>
      <c r="D538" s="156" t="e">
        <f>VLOOKUP(C538,Stock_list!D:L,2,FALSE)</f>
        <v>#N/A</v>
      </c>
      <c r="E538" s="160" t="e">
        <f>VLOOKUP(C538,Stock_list!D:L,9,FALSE)</f>
        <v>#N/A</v>
      </c>
      <c r="F538" s="170" t="s">
        <v>227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265</v>
      </c>
      <c r="B539" s="114" t="str">
        <f>VLOOKUP(A539,'Data pick slip'!B:F,5,FALSE)</f>
        <v>KHJ-MC400-00</v>
      </c>
      <c r="C539" s="169">
        <v>110237</v>
      </c>
      <c r="D539" s="156" t="e">
        <f>VLOOKUP(C539,Stock_list!D:L,2,FALSE)</f>
        <v>#N/A</v>
      </c>
      <c r="E539" s="160" t="e">
        <f>VLOOKUP(C539,Stock_list!D:L,9,FALSE)</f>
        <v>#N/A</v>
      </c>
      <c r="F539" s="170" t="s">
        <v>227</v>
      </c>
      <c r="G539" s="283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261</v>
      </c>
      <c r="B540" s="114" t="str">
        <f>VLOOKUP(A540,'Data pick slip'!B:F,5,FALSE)</f>
        <v>KHJ-MC100-00</v>
      </c>
      <c r="C540" s="169">
        <v>110244</v>
      </c>
      <c r="D540" s="156" t="e">
        <f>VLOOKUP(C540,Stock_list!D:L,2,FALSE)</f>
        <v>#N/A</v>
      </c>
      <c r="E540" s="160" t="e">
        <f>VLOOKUP(C540,Stock_list!D:L,9,FALSE)</f>
        <v>#N/A</v>
      </c>
      <c r="F540" s="170" t="s">
        <v>227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264</v>
      </c>
      <c r="B541" s="114" t="str">
        <f>VLOOKUP(A541,'Data pick slip'!B:F,5,FALSE)</f>
        <v>KHJ-MC200-00</v>
      </c>
      <c r="C541" s="169">
        <v>110244</v>
      </c>
      <c r="D541" s="156" t="e">
        <f>VLOOKUP(C541,Stock_list!D:L,2,FALSE)</f>
        <v>#N/A</v>
      </c>
      <c r="E541" s="160" t="e">
        <f>VLOOKUP(C541,Stock_list!D:L,9,FALSE)</f>
        <v>#N/A</v>
      </c>
      <c r="F541" s="170" t="s">
        <v>227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265</v>
      </c>
      <c r="B542" s="114" t="str">
        <f>VLOOKUP(A542,'Data pick slip'!B:F,5,FALSE)</f>
        <v>KHJ-MC400-00</v>
      </c>
      <c r="C542" s="169">
        <v>110244</v>
      </c>
      <c r="D542" s="156" t="e">
        <f>VLOOKUP(C542,Stock_list!D:L,2,FALSE)</f>
        <v>#N/A</v>
      </c>
      <c r="E542" s="160" t="e">
        <f>VLOOKUP(C542,Stock_list!D:L,9,FALSE)</f>
        <v>#N/A</v>
      </c>
      <c r="F542" s="170" t="s">
        <v>227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266</v>
      </c>
      <c r="B543" s="114" t="str">
        <f>VLOOKUP(A543,'Data pick slip'!B:F,5,FALSE)</f>
        <v>KHJ-MC500-00</v>
      </c>
      <c r="C543" s="169">
        <v>110244</v>
      </c>
      <c r="D543" s="156" t="e">
        <f>VLOOKUP(C543,Stock_list!D:L,2,FALSE)</f>
        <v>#N/A</v>
      </c>
      <c r="E543" s="160" t="e">
        <f>VLOOKUP(C543,Stock_list!D:L,9,FALSE)</f>
        <v>#N/A</v>
      </c>
      <c r="F543" s="170" t="s">
        <v>227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267</v>
      </c>
      <c r="B544" s="114" t="str">
        <f>VLOOKUP(A544,'Data pick slip'!B:F,5,FALSE)</f>
        <v>KHJ-MC600-00</v>
      </c>
      <c r="C544" s="169">
        <v>110244</v>
      </c>
      <c r="D544" s="156" t="e">
        <f>VLOOKUP(C544,Stock_list!D:L,2,FALSE)</f>
        <v>#N/A</v>
      </c>
      <c r="E544" s="160" t="e">
        <f>VLOOKUP(C544,Stock_list!D:L,9,FALSE)</f>
        <v>#N/A</v>
      </c>
      <c r="F544" s="170" t="s">
        <v>227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261</v>
      </c>
      <c r="B545" s="114" t="str">
        <f>VLOOKUP(A545,'Data pick slip'!B:F,5,FALSE)</f>
        <v>KHJ-MC100-00</v>
      </c>
      <c r="C545" s="169">
        <v>110245</v>
      </c>
      <c r="D545" s="156" t="e">
        <f>VLOOKUP(C545,Stock_list!D:L,2,FALSE)</f>
        <v>#N/A</v>
      </c>
      <c r="E545" s="160" t="e">
        <f>VLOOKUP(C545,Stock_list!D:L,9,FALSE)</f>
        <v>#N/A</v>
      </c>
      <c r="F545" s="170" t="s">
        <v>227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264</v>
      </c>
      <c r="B546" s="114" t="str">
        <f>VLOOKUP(A546,'Data pick slip'!B:F,5,FALSE)</f>
        <v>KHJ-MC200-00</v>
      </c>
      <c r="C546" s="169">
        <v>110245</v>
      </c>
      <c r="D546" s="156" t="e">
        <f>VLOOKUP(C546,Stock_list!D:L,2,FALSE)</f>
        <v>#N/A</v>
      </c>
      <c r="E546" s="160" t="e">
        <f>VLOOKUP(C546,Stock_list!D:L,9,FALSE)</f>
        <v>#N/A</v>
      </c>
      <c r="F546" s="170" t="s">
        <v>227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261</v>
      </c>
      <c r="B547" s="114" t="str">
        <f>VLOOKUP(A547,'Data pick slip'!B:F,5,FALSE)</f>
        <v>KHJ-MC100-00</v>
      </c>
      <c r="C547" s="169">
        <v>110246</v>
      </c>
      <c r="D547" s="156" t="e">
        <f>VLOOKUP(C547,Stock_list!D:L,2,FALSE)</f>
        <v>#N/A</v>
      </c>
      <c r="E547" s="160" t="e">
        <f>VLOOKUP(C547,Stock_list!D:L,9,FALSE)</f>
        <v>#N/A</v>
      </c>
      <c r="F547" s="170" t="s">
        <v>227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264</v>
      </c>
      <c r="B548" s="114" t="str">
        <f>VLOOKUP(A548,'Data pick slip'!B:F,5,FALSE)</f>
        <v>KHJ-MC200-00</v>
      </c>
      <c r="C548" s="169">
        <v>110246</v>
      </c>
      <c r="D548" s="156" t="e">
        <f>VLOOKUP(C548,Stock_list!D:L,2,FALSE)</f>
        <v>#N/A</v>
      </c>
      <c r="E548" s="160" t="e">
        <f>VLOOKUP(C548,Stock_list!D:L,9,FALSE)</f>
        <v>#N/A</v>
      </c>
      <c r="F548" s="170" t="s">
        <v>227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265</v>
      </c>
      <c r="B549" s="114" t="str">
        <f>VLOOKUP(A549,'Data pick slip'!B:F,5,FALSE)</f>
        <v>KHJ-MC400-00</v>
      </c>
      <c r="C549" s="169">
        <v>110246</v>
      </c>
      <c r="D549" s="156" t="e">
        <f>VLOOKUP(C549,Stock_list!D:L,2,FALSE)</f>
        <v>#N/A</v>
      </c>
      <c r="E549" s="160" t="e">
        <f>VLOOKUP(C549,Stock_list!D:L,9,FALSE)</f>
        <v>#N/A</v>
      </c>
      <c r="F549" s="170" t="s">
        <v>227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266</v>
      </c>
      <c r="B550" s="114" t="str">
        <f>VLOOKUP(A550,'Data pick slip'!B:F,5,FALSE)</f>
        <v>KHJ-MC500-00</v>
      </c>
      <c r="C550" s="169">
        <v>110246</v>
      </c>
      <c r="D550" s="156" t="e">
        <f>VLOOKUP(C550,Stock_list!D:L,2,FALSE)</f>
        <v>#N/A</v>
      </c>
      <c r="E550" s="160" t="e">
        <f>VLOOKUP(C550,Stock_list!D:L,9,FALSE)</f>
        <v>#N/A</v>
      </c>
      <c r="F550" s="170" t="s">
        <v>227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267</v>
      </c>
      <c r="B551" s="114" t="str">
        <f>VLOOKUP(A551,'Data pick slip'!B:F,5,FALSE)</f>
        <v>KHJ-MC600-00</v>
      </c>
      <c r="C551" s="169">
        <v>110246</v>
      </c>
      <c r="D551" s="156" t="e">
        <f>VLOOKUP(C551,Stock_list!D:L,2,FALSE)</f>
        <v>#N/A</v>
      </c>
      <c r="E551" s="160" t="e">
        <f>VLOOKUP(C551,Stock_list!D:L,9,FALSE)</f>
        <v>#N/A</v>
      </c>
      <c r="F551" s="170" t="s">
        <v>227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268</v>
      </c>
      <c r="B552" s="114" t="str">
        <f>VLOOKUP(A552,'Data pick slip'!B:F,5,FALSE)</f>
        <v>KHJ-MC700-00</v>
      </c>
      <c r="C552" s="169">
        <v>110246</v>
      </c>
      <c r="D552" s="156" t="e">
        <f>VLOOKUP(C552,Stock_list!D:L,2,FALSE)</f>
        <v>#N/A</v>
      </c>
      <c r="E552" s="160" t="e">
        <f>VLOOKUP(C552,Stock_list!D:L,9,FALSE)</f>
        <v>#N/A</v>
      </c>
      <c r="F552" s="170" t="s">
        <v>227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261</v>
      </c>
      <c r="B553" s="114" t="str">
        <f>VLOOKUP(A553,'Data pick slip'!B:F,5,FALSE)</f>
        <v>KHJ-MC100-00</v>
      </c>
      <c r="C553" s="169">
        <v>110436</v>
      </c>
      <c r="D553" s="156" t="e">
        <f>VLOOKUP(C553,Stock_list!D:L,2,FALSE)</f>
        <v>#N/A</v>
      </c>
      <c r="E553" s="160" t="e">
        <f>VLOOKUP(C553,Stock_list!D:L,9,FALSE)</f>
        <v>#N/A</v>
      </c>
      <c r="F553" s="170" t="s">
        <v>227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261</v>
      </c>
      <c r="B554" s="114" t="str">
        <f>VLOOKUP(A554,'Data pick slip'!B:F,5,FALSE)</f>
        <v>KHJ-MC100-00</v>
      </c>
      <c r="C554" s="169">
        <v>110416</v>
      </c>
      <c r="D554" s="156" t="e">
        <f>VLOOKUP(C554,Stock_list!D:L,2,FALSE)</f>
        <v>#N/A</v>
      </c>
      <c r="E554" s="160" t="e">
        <f>VLOOKUP(C554,Stock_list!D:L,9,FALSE)</f>
        <v>#N/A</v>
      </c>
      <c r="F554" s="170" t="s">
        <v>227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264</v>
      </c>
      <c r="B555" s="114" t="str">
        <f>VLOOKUP(A555,'Data pick slip'!B:F,5,FALSE)</f>
        <v>KHJ-MC200-00</v>
      </c>
      <c r="C555" s="169">
        <v>110416</v>
      </c>
      <c r="D555" s="156" t="e">
        <f>VLOOKUP(C555,Stock_list!D:L,2,FALSE)</f>
        <v>#N/A</v>
      </c>
      <c r="E555" s="160" t="e">
        <f>VLOOKUP(C555,Stock_list!D:L,9,FALSE)</f>
        <v>#N/A</v>
      </c>
      <c r="F555" s="170" t="s">
        <v>227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265</v>
      </c>
      <c r="B556" s="114" t="str">
        <f>VLOOKUP(A556,'Data pick slip'!B:F,5,FALSE)</f>
        <v>KHJ-MC400-00</v>
      </c>
      <c r="C556" s="169">
        <v>110416</v>
      </c>
      <c r="D556" s="156" t="e">
        <f>VLOOKUP(C556,Stock_list!D:L,2,FALSE)</f>
        <v>#N/A</v>
      </c>
      <c r="E556" s="160" t="e">
        <f>VLOOKUP(C556,Stock_list!D:L,9,FALSE)</f>
        <v>#N/A</v>
      </c>
      <c r="F556" s="170" t="s">
        <v>227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261</v>
      </c>
      <c r="B557" s="114" t="str">
        <f>VLOOKUP(A557,'Data pick slip'!B:F,5,FALSE)</f>
        <v>KHJ-MC100-00</v>
      </c>
      <c r="C557" s="169">
        <v>110437</v>
      </c>
      <c r="D557" s="156" t="e">
        <f>VLOOKUP(C557,Stock_list!D:L,2,FALSE)</f>
        <v>#N/A</v>
      </c>
      <c r="E557" s="160" t="e">
        <f>VLOOKUP(C557,Stock_list!D:L,9,FALSE)</f>
        <v>#N/A</v>
      </c>
      <c r="F557" s="170" t="s">
        <v>227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261</v>
      </c>
      <c r="B558" s="114" t="str">
        <f>VLOOKUP(A558,'Data pick slip'!B:F,5,FALSE)</f>
        <v>KHJ-MC100-00</v>
      </c>
      <c r="C558" s="169" t="s">
        <v>449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227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261</v>
      </c>
      <c r="B559" s="114" t="str">
        <f>VLOOKUP(A559,'Data pick slip'!B:F,5,FALSE)</f>
        <v>KHJ-MC100-00</v>
      </c>
      <c r="C559" s="169">
        <v>110479</v>
      </c>
      <c r="D559" s="156" t="e">
        <f>VLOOKUP(C559,Stock_list!D:L,2,FALSE)</f>
        <v>#N/A</v>
      </c>
      <c r="E559" s="160" t="e">
        <f>VLOOKUP(C559,Stock_list!D:L,9,FALSE)</f>
        <v>#N/A</v>
      </c>
      <c r="F559" s="170" t="s">
        <v>227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264</v>
      </c>
      <c r="B560" s="114" t="str">
        <f>VLOOKUP(A560,'Data pick slip'!B:F,5,FALSE)</f>
        <v>KHJ-MC200-00</v>
      </c>
      <c r="C560" s="169">
        <v>110248</v>
      </c>
      <c r="D560" s="156" t="e">
        <f>VLOOKUP(C560,Stock_list!D:L,2,FALSE)</f>
        <v>#N/A</v>
      </c>
      <c r="E560" s="160" t="e">
        <f>VLOOKUP(C560,Stock_list!D:L,9,FALSE)</f>
        <v>#N/A</v>
      </c>
      <c r="F560" s="170" t="s">
        <v>227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265</v>
      </c>
      <c r="B561" s="114" t="str">
        <f>VLOOKUP(A561,'Data pick slip'!B:F,5,FALSE)</f>
        <v>KHJ-MC400-00</v>
      </c>
      <c r="C561" s="169">
        <v>110248</v>
      </c>
      <c r="D561" s="156" t="e">
        <f>VLOOKUP(C561,Stock_list!D:L,2,FALSE)</f>
        <v>#N/A</v>
      </c>
      <c r="E561" s="160" t="e">
        <f>VLOOKUP(C561,Stock_list!D:L,9,FALSE)</f>
        <v>#N/A</v>
      </c>
      <c r="F561" s="170" t="s">
        <v>227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266</v>
      </c>
      <c r="B562" s="114" t="str">
        <f>VLOOKUP(A562,'Data pick slip'!B:F,5,FALSE)</f>
        <v>KHJ-MC500-00</v>
      </c>
      <c r="C562" s="169">
        <v>110248</v>
      </c>
      <c r="D562" s="156" t="e">
        <f>VLOOKUP(C562,Stock_list!D:L,2,FALSE)</f>
        <v>#N/A</v>
      </c>
      <c r="E562" s="160" t="e">
        <f>VLOOKUP(C562,Stock_list!D:L,9,FALSE)</f>
        <v>#N/A</v>
      </c>
      <c r="F562" s="170" t="s">
        <v>227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267</v>
      </c>
      <c r="B563" s="114" t="str">
        <f>VLOOKUP(A563,'Data pick slip'!B:F,5,FALSE)</f>
        <v>KHJ-MC600-00</v>
      </c>
      <c r="C563" s="169">
        <v>110248</v>
      </c>
      <c r="D563" s="156" t="e">
        <f>VLOOKUP(C563,Stock_list!D:L,2,FALSE)</f>
        <v>#N/A</v>
      </c>
      <c r="E563" s="160" t="e">
        <f>VLOOKUP(C563,Stock_list!D:L,9,FALSE)</f>
        <v>#N/A</v>
      </c>
      <c r="F563" s="170" t="s">
        <v>227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268</v>
      </c>
      <c r="B564" s="114" t="str">
        <f>VLOOKUP(A564,'Data pick slip'!B:F,5,FALSE)</f>
        <v>KHJ-MC700-00</v>
      </c>
      <c r="C564" s="169">
        <v>110248</v>
      </c>
      <c r="D564" s="156" t="e">
        <f>VLOOKUP(C564,Stock_list!D:L,2,FALSE)</f>
        <v>#N/A</v>
      </c>
      <c r="E564" s="160" t="e">
        <f>VLOOKUP(C564,Stock_list!D:L,9,FALSE)</f>
        <v>#N/A</v>
      </c>
      <c r="F564" s="170" t="s">
        <v>227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261</v>
      </c>
      <c r="B565" s="114" t="str">
        <f>VLOOKUP(A565,'Data pick slip'!B:F,5,FALSE)</f>
        <v>KHJ-MC100-00</v>
      </c>
      <c r="C565" s="169" t="s">
        <v>450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227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261</v>
      </c>
      <c r="B566" s="114" t="str">
        <f>VLOOKUP(A566,'Data pick slip'!B:F,5,FALSE)</f>
        <v>KHJ-MC100-00</v>
      </c>
      <c r="C566" s="169">
        <v>110452</v>
      </c>
      <c r="D566" s="156" t="e">
        <f>VLOOKUP(C566,Stock_list!D:L,2,FALSE)</f>
        <v>#N/A</v>
      </c>
      <c r="E566" s="160" t="e">
        <f>VLOOKUP(C566,Stock_list!D:L,9,FALSE)</f>
        <v>#N/A</v>
      </c>
      <c r="F566" s="170" t="s">
        <v>227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264</v>
      </c>
      <c r="B567" s="114" t="str">
        <f>VLOOKUP(A567,'Data pick slip'!B:F,5,FALSE)</f>
        <v>KHJ-MC200-00</v>
      </c>
      <c r="C567" s="169">
        <v>110452</v>
      </c>
      <c r="D567" s="156" t="e">
        <f>VLOOKUP(C567,Stock_list!D:L,2,FALSE)</f>
        <v>#N/A</v>
      </c>
      <c r="E567" s="160" t="e">
        <f>VLOOKUP(C567,Stock_list!D:L,9,FALSE)</f>
        <v>#N/A</v>
      </c>
      <c r="F567" s="170" t="s">
        <v>227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265</v>
      </c>
      <c r="B568" s="114" t="str">
        <f>VLOOKUP(A568,'Data pick slip'!B:F,5,FALSE)</f>
        <v>KHJ-MC400-00</v>
      </c>
      <c r="C568" s="169">
        <v>110452</v>
      </c>
      <c r="D568" s="156" t="e">
        <f>VLOOKUP(C568,Stock_list!D:L,2,FALSE)</f>
        <v>#N/A</v>
      </c>
      <c r="E568" s="160" t="e">
        <f>VLOOKUP(C568,Stock_list!D:L,9,FALSE)</f>
        <v>#N/A</v>
      </c>
      <c r="F568" s="170" t="s">
        <v>227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266</v>
      </c>
      <c r="B569" s="114" t="str">
        <f>VLOOKUP(A569,'Data pick slip'!B:F,5,FALSE)</f>
        <v>KHJ-MC500-00</v>
      </c>
      <c r="C569" s="169">
        <v>110452</v>
      </c>
      <c r="D569" s="156" t="e">
        <f>VLOOKUP(C569,Stock_list!D:L,2,FALSE)</f>
        <v>#N/A</v>
      </c>
      <c r="E569" s="160" t="e">
        <f>VLOOKUP(C569,Stock_list!D:L,9,FALSE)</f>
        <v>#N/A</v>
      </c>
      <c r="F569" s="170" t="s">
        <v>227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267</v>
      </c>
      <c r="B570" s="114" t="str">
        <f>VLOOKUP(A570,'Data pick slip'!B:F,5,FALSE)</f>
        <v>KHJ-MC600-00</v>
      </c>
      <c r="C570" s="169">
        <v>110452</v>
      </c>
      <c r="D570" s="156" t="e">
        <f>VLOOKUP(C570,Stock_list!D:L,2,FALSE)</f>
        <v>#N/A</v>
      </c>
      <c r="E570" s="160" t="e">
        <f>VLOOKUP(C570,Stock_list!D:L,9,FALSE)</f>
        <v>#N/A</v>
      </c>
      <c r="F570" s="170" t="s">
        <v>227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261</v>
      </c>
      <c r="B571" s="114" t="str">
        <f>VLOOKUP(A571,'Data pick slip'!B:F,5,FALSE)</f>
        <v>KHJ-MC100-00</v>
      </c>
      <c r="C571" s="169">
        <v>110669</v>
      </c>
      <c r="D571" s="156" t="e">
        <f>VLOOKUP(C571,Stock_list!D:L,2,FALSE)</f>
        <v>#N/A</v>
      </c>
      <c r="E571" s="160" t="e">
        <f>VLOOKUP(C571,Stock_list!D:L,9,FALSE)</f>
        <v>#N/A</v>
      </c>
      <c r="F571" s="170" t="s">
        <v>227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272</v>
      </c>
      <c r="B572" s="114" t="str">
        <f>VLOOKUP(A572,'Data pick slip'!B:F,5,FALSE)</f>
        <v>KLJ-MC100-00</v>
      </c>
      <c r="C572" s="169"/>
      <c r="D572" s="156"/>
      <c r="E572" s="160" t="s">
        <v>451</v>
      </c>
      <c r="F572" s="170" t="s">
        <v>290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261</v>
      </c>
      <c r="B573" s="114" t="str">
        <f>VLOOKUP(A573,'Data pick slip'!B:F,5,FALSE)</f>
        <v>KHJ-MC100-00</v>
      </c>
      <c r="C573" s="169"/>
      <c r="D573" s="156"/>
      <c r="E573" s="141" t="s">
        <v>452</v>
      </c>
      <c r="F573" s="170" t="s">
        <v>290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264</v>
      </c>
      <c r="B574" s="114" t="str">
        <f>VLOOKUP(A574,'Data pick slip'!B:F,5,FALSE)</f>
        <v>KHJ-MC200-00</v>
      </c>
      <c r="C574" s="169"/>
      <c r="D574" s="156"/>
      <c r="E574" s="141" t="s">
        <v>452</v>
      </c>
      <c r="F574" s="170" t="s">
        <v>290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266</v>
      </c>
      <c r="B575" s="114" t="str">
        <f>VLOOKUP(A575,'Data pick slip'!B:F,5,FALSE)</f>
        <v>KHJ-MC500-00</v>
      </c>
      <c r="C575" s="169"/>
      <c r="D575" s="156"/>
      <c r="E575" s="141" t="s">
        <v>452</v>
      </c>
      <c r="F575" s="170" t="s">
        <v>290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261</v>
      </c>
      <c r="B576" s="114" t="str">
        <f>VLOOKUP(A576,'Data pick slip'!B:F,5,FALSE)</f>
        <v>KHJ-MC100-00</v>
      </c>
      <c r="C576" s="169">
        <v>110271</v>
      </c>
      <c r="D576" s="156" t="e">
        <f>VLOOKUP(C576,Stock_list!D:L,2,FALSE)</f>
        <v>#N/A</v>
      </c>
      <c r="E576" s="160" t="e">
        <f>VLOOKUP(C576,Stock_list!D:L,9,FALSE)</f>
        <v>#N/A</v>
      </c>
      <c r="F576" s="170" t="s">
        <v>227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264</v>
      </c>
      <c r="B577" s="114" t="str">
        <f>VLOOKUP(A577,'Data pick slip'!B:F,5,FALSE)</f>
        <v>KHJ-MC200-00</v>
      </c>
      <c r="C577" s="169">
        <v>110271</v>
      </c>
      <c r="D577" s="156" t="e">
        <f>VLOOKUP(C577,Stock_list!D:L,2,FALSE)</f>
        <v>#N/A</v>
      </c>
      <c r="E577" s="160" t="e">
        <f>VLOOKUP(C577,Stock_list!D:L,9,FALSE)</f>
        <v>#N/A</v>
      </c>
      <c r="F577" s="170" t="s">
        <v>227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261</v>
      </c>
      <c r="B578" s="114" t="str">
        <f>VLOOKUP(A578,'Data pick slip'!B:F,5,FALSE)</f>
        <v>KHJ-MC100-00</v>
      </c>
      <c r="C578" s="169">
        <v>110272</v>
      </c>
      <c r="D578" s="156" t="e">
        <f>VLOOKUP(C578,Stock_list!D:L,2,FALSE)</f>
        <v>#N/A</v>
      </c>
      <c r="E578" s="160" t="e">
        <f>VLOOKUP(C578,Stock_list!D:L,9,FALSE)</f>
        <v>#N/A</v>
      </c>
      <c r="F578" s="170" t="s">
        <v>227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264</v>
      </c>
      <c r="B579" s="114" t="str">
        <f>VLOOKUP(A579,'Data pick slip'!B:F,5,FALSE)</f>
        <v>KHJ-MC200-00</v>
      </c>
      <c r="C579" s="169">
        <v>110272</v>
      </c>
      <c r="D579" s="156" t="e">
        <f>VLOOKUP(C579,Stock_list!D:L,2,FALSE)</f>
        <v>#N/A</v>
      </c>
      <c r="E579" s="160" t="e">
        <f>VLOOKUP(C579,Stock_list!D:L,9,FALSE)</f>
        <v>#N/A</v>
      </c>
      <c r="F579" s="170" t="s">
        <v>227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266</v>
      </c>
      <c r="B580" s="114" t="str">
        <f>VLOOKUP(A580,'Data pick slip'!B:F,5,FALSE)</f>
        <v>KHJ-MC500-00</v>
      </c>
      <c r="C580" s="169">
        <v>110272</v>
      </c>
      <c r="D580" s="156" t="e">
        <f>VLOOKUP(C580,Stock_list!D:L,2,FALSE)</f>
        <v>#N/A</v>
      </c>
      <c r="E580" s="160" t="e">
        <f>VLOOKUP(C580,Stock_list!D:L,9,FALSE)</f>
        <v>#N/A</v>
      </c>
      <c r="F580" s="170" t="s">
        <v>227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267</v>
      </c>
      <c r="B581" s="114" t="str">
        <f>VLOOKUP(A581,'Data pick slip'!B:F,5,FALSE)</f>
        <v>KHJ-MC600-00</v>
      </c>
      <c r="C581" s="169">
        <v>110272</v>
      </c>
      <c r="D581" s="156" t="e">
        <f>VLOOKUP(C581,Stock_list!D:L,2,FALSE)</f>
        <v>#N/A</v>
      </c>
      <c r="E581" s="160" t="e">
        <f>VLOOKUP(C581,Stock_list!D:L,9,FALSE)</f>
        <v>#N/A</v>
      </c>
      <c r="F581" s="170" t="s">
        <v>227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272</v>
      </c>
      <c r="B582" s="114" t="str">
        <f>VLOOKUP(A582,'Data pick slip'!B:F,5,FALSE)</f>
        <v>KLJ-MC100-00</v>
      </c>
      <c r="C582" s="169">
        <v>110274</v>
      </c>
      <c r="D582" s="156" t="e">
        <f>VLOOKUP(C582,Stock_list!D:L,2,FALSE)</f>
        <v>#N/A</v>
      </c>
      <c r="E582" s="160" t="e">
        <f>VLOOKUP(C582,Stock_list!D:L,9,FALSE)</f>
        <v>#N/A</v>
      </c>
      <c r="F582" s="170" t="s">
        <v>227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273</v>
      </c>
      <c r="B583" s="114" t="str">
        <f>VLOOKUP(A583,'Data pick slip'!B:F,5,FALSE)</f>
        <v>KLJ-MC200-00</v>
      </c>
      <c r="C583" s="169">
        <v>110274</v>
      </c>
      <c r="D583" s="156" t="e">
        <f>VLOOKUP(C583,Stock_list!D:L,2,FALSE)</f>
        <v>#N/A</v>
      </c>
      <c r="E583" s="160" t="e">
        <f>VLOOKUP(C583,Stock_list!D:L,9,FALSE)</f>
        <v>#N/A</v>
      </c>
      <c r="F583" s="170" t="s">
        <v>453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274</v>
      </c>
      <c r="B584" s="114" t="str">
        <f>VLOOKUP(A584,'Data pick slip'!B:F,5,FALSE)</f>
        <v>KLJ-MC400-00</v>
      </c>
      <c r="C584" s="169">
        <v>110274</v>
      </c>
      <c r="D584" s="156" t="e">
        <f>VLOOKUP(C584,Stock_list!D:L,2,FALSE)</f>
        <v>#N/A</v>
      </c>
      <c r="E584" s="160" t="e">
        <f>VLOOKUP(C584,Stock_list!D:L,9,FALSE)</f>
        <v>#N/A</v>
      </c>
      <c r="F584" s="170" t="s">
        <v>227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</v>
      </c>
      <c r="B585" s="114" t="str">
        <f>VLOOKUP(A585,'Data pick slip'!B:F,5,FALSE)</f>
        <v>KLJ-MC500-00</v>
      </c>
      <c r="C585" s="169">
        <v>110274</v>
      </c>
      <c r="D585" s="156" t="e">
        <f>VLOOKUP(C585,Stock_list!D:L,2,FALSE)</f>
        <v>#N/A</v>
      </c>
      <c r="E585" s="160" t="e">
        <f>VLOOKUP(C585,Stock_list!D:L,9,FALSE)</f>
        <v>#N/A</v>
      </c>
      <c r="F585" s="170" t="s">
        <v>227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276</v>
      </c>
      <c r="B586" s="114" t="str">
        <f>VLOOKUP(A586,'Data pick slip'!B:F,5,FALSE)</f>
        <v>KLJ-MC600-00</v>
      </c>
      <c r="C586" s="169">
        <v>110274</v>
      </c>
      <c r="D586" s="156" t="e">
        <f>VLOOKUP(C586,Stock_list!D:L,2,FALSE)</f>
        <v>#N/A</v>
      </c>
      <c r="E586" s="160" t="e">
        <f>VLOOKUP(C586,Stock_list!D:L,9,FALSE)</f>
        <v>#N/A</v>
      </c>
      <c r="F586" s="170" t="s">
        <v>227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261</v>
      </c>
      <c r="B587" s="114" t="str">
        <f>VLOOKUP(A587,'Data pick slip'!B:F,5,FALSE)</f>
        <v>KHJ-MC100-00</v>
      </c>
      <c r="C587" s="169" t="s">
        <v>454</v>
      </c>
      <c r="D587" s="265" t="s">
        <v>455</v>
      </c>
      <c r="E587" s="160">
        <v>44283</v>
      </c>
      <c r="F587" s="170" t="s">
        <v>227</v>
      </c>
      <c r="G587" s="171" t="s">
        <v>456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261</v>
      </c>
      <c r="B588" s="114" t="str">
        <f>VLOOKUP(A588,'Data pick slip'!B:F,5,FALSE)</f>
        <v>KHJ-MC100-00</v>
      </c>
      <c r="C588" s="169" t="s">
        <v>457</v>
      </c>
      <c r="D588" s="265" t="s">
        <v>458</v>
      </c>
      <c r="E588" s="160" t="s">
        <v>189</v>
      </c>
      <c r="F588" s="170" t="s">
        <v>227</v>
      </c>
      <c r="G588" s="171" t="s">
        <v>459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261</v>
      </c>
      <c r="B589" s="114" t="str">
        <f>VLOOKUP(A589,'Data pick slip'!B:F,5,FALSE)</f>
        <v>KHJ-MC100-00</v>
      </c>
      <c r="C589" s="169" t="s">
        <v>460</v>
      </c>
      <c r="D589" s="265" t="s">
        <v>461</v>
      </c>
      <c r="E589" s="160">
        <v>44283</v>
      </c>
      <c r="F589" s="170" t="s">
        <v>227</v>
      </c>
      <c r="G589" s="171" t="s">
        <v>456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261</v>
      </c>
      <c r="B590" s="114" t="str">
        <f>VLOOKUP(A590,'Data pick slip'!B:F,5,FALSE)</f>
        <v>KHJ-MC100-00</v>
      </c>
      <c r="C590" s="169" t="s">
        <v>462</v>
      </c>
      <c r="D590" s="265" t="s">
        <v>463</v>
      </c>
      <c r="E590" s="160">
        <v>44283</v>
      </c>
      <c r="F590" s="170" t="s">
        <v>227</v>
      </c>
      <c r="G590" s="171" t="s">
        <v>456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261</v>
      </c>
      <c r="B591" s="114" t="str">
        <f>VLOOKUP(A591,'Data pick slip'!B:F,5,FALSE)</f>
        <v>KHJ-MC100-00</v>
      </c>
      <c r="C591" s="169" t="s">
        <v>464</v>
      </c>
      <c r="D591" s="265" t="s">
        <v>465</v>
      </c>
      <c r="E591" s="160">
        <v>44283</v>
      </c>
      <c r="F591" s="170" t="s">
        <v>227</v>
      </c>
      <c r="G591" s="171" t="s">
        <v>466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269</v>
      </c>
      <c r="B592" s="114" t="str">
        <f>VLOOKUP(A592,'Data pick slip'!B:F,5,FALSE)</f>
        <v>KHJ-MC800-00</v>
      </c>
      <c r="C592" s="169"/>
      <c r="D592" s="156"/>
      <c r="E592" s="160" t="s">
        <v>467</v>
      </c>
      <c r="F592" s="170" t="s">
        <v>290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261</v>
      </c>
      <c r="B593" s="114" t="str">
        <f>VLOOKUP(A593,'Data pick slip'!B:F,5,FALSE)</f>
        <v>KHJ-MC100-00</v>
      </c>
      <c r="C593" s="169" t="s">
        <v>468</v>
      </c>
      <c r="D593" s="169" t="e">
        <f>VLOOKUP(C593,Stock_list!D:L,2,FALSE)</f>
        <v>#N/A</v>
      </c>
      <c r="E593" s="282" t="e">
        <f>VLOOKUP(C593,Stock_list!D:L,9,FALSE)</f>
        <v>#N/A</v>
      </c>
      <c r="F593" s="170" t="s">
        <v>227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261</v>
      </c>
      <c r="B594" s="114" t="str">
        <f>VLOOKUP(A594,'Data pick slip'!B:F,5,FALSE)</f>
        <v>KHJ-MC100-00</v>
      </c>
      <c r="C594" s="169">
        <v>110314</v>
      </c>
      <c r="D594" s="169" t="e">
        <f>VLOOKUP(C594,Stock_list!D:L,2,FALSE)</f>
        <v>#N/A</v>
      </c>
      <c r="E594" s="282" t="e">
        <f>VLOOKUP(C594,Stock_list!D:L,9,FALSE)</f>
        <v>#N/A</v>
      </c>
      <c r="F594" s="170" t="s">
        <v>227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264</v>
      </c>
      <c r="B595" s="114" t="str">
        <f>VLOOKUP(A595,'Data pick slip'!B:F,5,FALSE)</f>
        <v>KHJ-MC200-00</v>
      </c>
      <c r="C595" s="169">
        <v>110314</v>
      </c>
      <c r="D595" s="169" t="e">
        <f>VLOOKUP(C595,Stock_list!D:L,2,FALSE)</f>
        <v>#N/A</v>
      </c>
      <c r="E595" s="282" t="e">
        <f>VLOOKUP(C595,Stock_list!D:L,9,FALSE)</f>
        <v>#N/A</v>
      </c>
      <c r="F595" s="170" t="s">
        <v>227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265</v>
      </c>
      <c r="B596" s="114" t="str">
        <f>VLOOKUP(A596,'Data pick slip'!B:F,5,FALSE)</f>
        <v>KHJ-MC400-00</v>
      </c>
      <c r="C596" s="169">
        <v>110314</v>
      </c>
      <c r="D596" s="169" t="e">
        <f>VLOOKUP(C596,Stock_list!D:L,2,FALSE)</f>
        <v>#N/A</v>
      </c>
      <c r="E596" s="282" t="e">
        <f>VLOOKUP(C596,Stock_list!D:L,9,FALSE)</f>
        <v>#N/A</v>
      </c>
      <c r="F596" s="170" t="s">
        <v>227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266</v>
      </c>
      <c r="B597" s="114" t="str">
        <f>VLOOKUP(A597,'Data pick slip'!B:F,5,FALSE)</f>
        <v>KHJ-MC500-00</v>
      </c>
      <c r="C597" s="169">
        <v>110314</v>
      </c>
      <c r="D597" s="169" t="e">
        <f>VLOOKUP(C597,Stock_list!D:L,2,FALSE)</f>
        <v>#N/A</v>
      </c>
      <c r="E597" s="282" t="e">
        <f>VLOOKUP(C597,Stock_list!D:L,9,FALSE)</f>
        <v>#N/A</v>
      </c>
      <c r="F597" s="170" t="s">
        <v>227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267</v>
      </c>
      <c r="B598" s="114" t="str">
        <f>VLOOKUP(A598,'Data pick slip'!B:F,5,FALSE)</f>
        <v>KHJ-MC600-00</v>
      </c>
      <c r="C598" s="169">
        <v>110314</v>
      </c>
      <c r="D598" s="169" t="e">
        <f>VLOOKUP(C598,Stock_list!D:L,2,FALSE)</f>
        <v>#N/A</v>
      </c>
      <c r="E598" s="282" t="e">
        <f>VLOOKUP(C598,Stock_list!D:L,9,FALSE)</f>
        <v>#N/A</v>
      </c>
      <c r="F598" s="170" t="s">
        <v>227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268</v>
      </c>
      <c r="B599" s="114" t="str">
        <f>VLOOKUP(A599,'Data pick slip'!B:F,5,FALSE)</f>
        <v>KHJ-MC700-00</v>
      </c>
      <c r="C599" s="169">
        <v>110314</v>
      </c>
      <c r="D599" s="169" t="e">
        <f>VLOOKUP(C599,Stock_list!D:L,2,FALSE)</f>
        <v>#N/A</v>
      </c>
      <c r="E599" s="282" t="e">
        <f>VLOOKUP(C599,Stock_list!D:L,9,FALSE)</f>
        <v>#N/A</v>
      </c>
      <c r="F599" s="170" t="s">
        <v>227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261</v>
      </c>
      <c r="B600" s="114" t="str">
        <f>VLOOKUP(A600,'Data pick slip'!B:F,5,FALSE)</f>
        <v>KHJ-MC100-00</v>
      </c>
      <c r="C600" s="169"/>
      <c r="D600" s="156"/>
      <c r="E600" s="141" t="s">
        <v>469</v>
      </c>
      <c r="F600" s="170" t="s">
        <v>290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264</v>
      </c>
      <c r="B601" s="114" t="str">
        <f>VLOOKUP(A601,'Data pick slip'!B:F,5,FALSE)</f>
        <v>KHJ-MC200-00</v>
      </c>
      <c r="C601" s="169"/>
      <c r="D601" s="156"/>
      <c r="E601" s="141" t="s">
        <v>469</v>
      </c>
      <c r="F601" s="170" t="s">
        <v>290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272</v>
      </c>
      <c r="B602" s="114" t="str">
        <f>VLOOKUP(A602,'Data pick slip'!B:F,5,FALSE)</f>
        <v>KLJ-MC100-00</v>
      </c>
      <c r="C602" s="169">
        <v>110333</v>
      </c>
      <c r="D602" s="169" t="e">
        <f>VLOOKUP(C602,Stock_list!D:L,2,FALSE)</f>
        <v>#N/A</v>
      </c>
      <c r="E602" s="282" t="e">
        <f>VLOOKUP(C602,Stock_list!D:L,9,FALSE)</f>
        <v>#N/A</v>
      </c>
      <c r="F602" s="170" t="s">
        <v>227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273</v>
      </c>
      <c r="B603" s="114" t="str">
        <f>VLOOKUP(A603,'Data pick slip'!B:F,5,FALSE)</f>
        <v>KLJ-MC200-00</v>
      </c>
      <c r="C603" s="169">
        <v>110333</v>
      </c>
      <c r="D603" s="169" t="e">
        <f>VLOOKUP(C603,Stock_list!D:L,2,FALSE)</f>
        <v>#N/A</v>
      </c>
      <c r="E603" s="282" t="e">
        <f>VLOOKUP(C603,Stock_list!D:L,9,FALSE)</f>
        <v>#N/A</v>
      </c>
      <c r="F603" s="170" t="s">
        <v>227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274</v>
      </c>
      <c r="B604" s="114" t="str">
        <f>VLOOKUP(A604,'Data pick slip'!B:F,5,FALSE)</f>
        <v>KLJ-MC400-00</v>
      </c>
      <c r="C604" s="169">
        <v>110333</v>
      </c>
      <c r="D604" s="169" t="e">
        <f>VLOOKUP(C604,Stock_list!D:L,2,FALSE)</f>
        <v>#N/A</v>
      </c>
      <c r="E604" s="282" t="e">
        <f>VLOOKUP(C604,Stock_list!D:L,9,FALSE)</f>
        <v>#N/A</v>
      </c>
      <c r="F604" s="170" t="s">
        <v>227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261</v>
      </c>
      <c r="B605" s="114" t="str">
        <f>VLOOKUP(A605,'Data pick slip'!B:F,5,FALSE)</f>
        <v>KHJ-MC100-00</v>
      </c>
      <c r="C605" s="169">
        <v>110383</v>
      </c>
      <c r="D605" s="169" t="e">
        <f>VLOOKUP(C605,Stock_list!D:L,2,FALSE)</f>
        <v>#N/A</v>
      </c>
      <c r="E605" s="282" t="e">
        <f>VLOOKUP(C605,Stock_list!D:L,9,FALSE)</f>
        <v>#N/A</v>
      </c>
      <c r="F605" s="170" t="s">
        <v>227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264</v>
      </c>
      <c r="B606" s="114" t="str">
        <f>VLOOKUP(A606,'Data pick slip'!B:F,5,FALSE)</f>
        <v>KHJ-MC200-00</v>
      </c>
      <c r="C606" s="169">
        <v>110383</v>
      </c>
      <c r="D606" s="169" t="e">
        <f>VLOOKUP(C606,Stock_list!D:L,2,FALSE)</f>
        <v>#N/A</v>
      </c>
      <c r="E606" s="282" t="e">
        <f>VLOOKUP(C606,Stock_list!D:L,9,FALSE)</f>
        <v>#N/A</v>
      </c>
      <c r="F606" s="170" t="s">
        <v>227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265</v>
      </c>
      <c r="B607" s="114" t="str">
        <f>VLOOKUP(A607,'Data pick slip'!B:F,5,FALSE)</f>
        <v>KHJ-MC400-00</v>
      </c>
      <c r="C607" s="169">
        <v>110383</v>
      </c>
      <c r="D607" s="169" t="e">
        <f>VLOOKUP(C607,Stock_list!D:L,2,FALSE)</f>
        <v>#N/A</v>
      </c>
      <c r="E607" s="282" t="e">
        <f>VLOOKUP(C607,Stock_list!D:L,9,FALSE)</f>
        <v>#N/A</v>
      </c>
      <c r="F607" s="170" t="s">
        <v>227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269</v>
      </c>
      <c r="B608" s="114" t="str">
        <f>VLOOKUP(A608,'Data pick slip'!B:F,5,FALSE)</f>
        <v>KHJ-MC800-00</v>
      </c>
      <c r="C608" s="169">
        <v>110383</v>
      </c>
      <c r="D608" s="169" t="e">
        <f>VLOOKUP(C608,Stock_list!D:L,2,FALSE)</f>
        <v>#N/A</v>
      </c>
      <c r="E608" s="282" t="e">
        <f>VLOOKUP(C608,Stock_list!D:L,9,FALSE)</f>
        <v>#N/A</v>
      </c>
      <c r="F608" s="170" t="s">
        <v>227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261</v>
      </c>
      <c r="B609" s="114" t="str">
        <f>VLOOKUP(A609,'Data pick slip'!B:F,5,FALSE)</f>
        <v>KHJ-MC100-00</v>
      </c>
      <c r="C609" s="169">
        <v>110384</v>
      </c>
      <c r="D609" s="169" t="e">
        <f>VLOOKUP(C609,Stock_list!D:L,2,FALSE)</f>
        <v>#N/A</v>
      </c>
      <c r="E609" s="160" t="e">
        <f>VLOOKUP(C609,Stock_list!D:L,9,FALSE)</f>
        <v>#N/A</v>
      </c>
      <c r="F609" s="170" t="s">
        <v>227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264</v>
      </c>
      <c r="B610" s="114" t="str">
        <f>VLOOKUP(A610,'Data pick slip'!B:F,5,FALSE)</f>
        <v>KHJ-MC200-00</v>
      </c>
      <c r="C610" s="169">
        <v>110384</v>
      </c>
      <c r="D610" s="169" t="e">
        <f>VLOOKUP(C610,Stock_list!D:L,2,FALSE)</f>
        <v>#N/A</v>
      </c>
      <c r="E610" s="160" t="e">
        <f>VLOOKUP(C610,Stock_list!D:L,9,FALSE)</f>
        <v>#N/A</v>
      </c>
      <c r="F610" s="170" t="s">
        <v>227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3.95" customHeight="1">
      <c r="A611" s="181" t="s">
        <v>265</v>
      </c>
      <c r="B611" s="114" t="str">
        <f>VLOOKUP(A611,'Data pick slip'!B:F,5,FALSE)</f>
        <v>KHJ-MC400-00</v>
      </c>
      <c r="C611" s="169">
        <v>110384</v>
      </c>
      <c r="D611" s="169" t="e">
        <f>VLOOKUP(C611,Stock_list!D:L,2,FALSE)</f>
        <v>#N/A</v>
      </c>
      <c r="E611" s="160" t="e">
        <f>VLOOKUP(C611,Stock_list!D:L,9,FALSE)</f>
        <v>#N/A</v>
      </c>
      <c r="F611" s="170" t="s">
        <v>227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261</v>
      </c>
      <c r="B612" s="114" t="str">
        <f>VLOOKUP(A612,'Data pick slip'!B:F,5,FALSE)</f>
        <v>KHJ-MC100-00</v>
      </c>
      <c r="C612" s="169">
        <v>110441</v>
      </c>
      <c r="D612" s="169" t="e">
        <f>VLOOKUP(C612,Stock_list!D:L,2,FALSE)</f>
        <v>#N/A</v>
      </c>
      <c r="E612" s="282" t="e">
        <f>VLOOKUP(C612,Stock_list!D:L,9,FALSE)</f>
        <v>#N/A</v>
      </c>
      <c r="F612" s="170" t="s">
        <v>227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261</v>
      </c>
      <c r="B613" s="114" t="str">
        <f>VLOOKUP(A613,'Data pick slip'!B:F,5,FALSE)</f>
        <v>KHJ-MC100-00</v>
      </c>
      <c r="C613" s="169"/>
      <c r="D613" s="169" t="s">
        <v>173</v>
      </c>
      <c r="E613" s="141" t="s">
        <v>470</v>
      </c>
      <c r="F613" s="170" t="s">
        <v>290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264</v>
      </c>
      <c r="B614" s="114" t="str">
        <f>VLOOKUP(A614,'Data pick slip'!B:F,5,FALSE)</f>
        <v>KHJ-MC200-00</v>
      </c>
      <c r="C614" s="169"/>
      <c r="D614" s="169"/>
      <c r="E614" s="141" t="s">
        <v>470</v>
      </c>
      <c r="F614" s="170" t="s">
        <v>290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265</v>
      </c>
      <c r="B615" s="114" t="str">
        <f>VLOOKUP(A615,'Data pick slip'!B:F,5,FALSE)</f>
        <v>KHJ-MC400-00</v>
      </c>
      <c r="C615" s="169"/>
      <c r="D615" s="169"/>
      <c r="E615" s="141" t="s">
        <v>470</v>
      </c>
      <c r="F615" s="170" t="s">
        <v>290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266</v>
      </c>
      <c r="B616" s="114" t="str">
        <f>VLOOKUP(A616,'Data pick slip'!B:F,5,FALSE)</f>
        <v>KHJ-MC500-00</v>
      </c>
      <c r="C616" s="169"/>
      <c r="D616" s="169"/>
      <c r="E616" s="141" t="s">
        <v>470</v>
      </c>
      <c r="F616" s="170" t="s">
        <v>290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272</v>
      </c>
      <c r="B617" s="114" t="str">
        <f>VLOOKUP(A617,'Data pick slip'!B:F,5,FALSE)</f>
        <v>KLJ-MC100-00</v>
      </c>
      <c r="C617" s="169" t="s">
        <v>471</v>
      </c>
      <c r="D617" s="169" t="e">
        <f>VLOOKUP(C617,Stock_list!D:L,2,FALSE)</f>
        <v>#N/A</v>
      </c>
      <c r="E617" s="282" t="e">
        <f>VLOOKUP(C617,Stock_list!D:L,9,FALSE)</f>
        <v>#N/A</v>
      </c>
      <c r="F617" s="170" t="s">
        <v>227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273</v>
      </c>
      <c r="B618" s="114" t="str">
        <f>VLOOKUP(A618,'Data pick slip'!B:F,5,FALSE)</f>
        <v>KLJ-MC200-00</v>
      </c>
      <c r="C618" s="169">
        <v>110413</v>
      </c>
      <c r="D618" s="169" t="e">
        <f>VLOOKUP(C618,Stock_list!D:L,2,FALSE)</f>
        <v>#N/A</v>
      </c>
      <c r="E618" s="282" t="e">
        <f>VLOOKUP(C618,Stock_list!D:L,9,FALSE)</f>
        <v>#N/A</v>
      </c>
      <c r="F618" s="170" t="s">
        <v>227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274</v>
      </c>
      <c r="B619" s="114" t="str">
        <f>VLOOKUP(A619,'Data pick slip'!B:F,5,FALSE)</f>
        <v>KLJ-MC400-00</v>
      </c>
      <c r="C619" s="169">
        <v>110413</v>
      </c>
      <c r="D619" s="169" t="e">
        <f>VLOOKUP(C619,Stock_list!D:L,2,FALSE)</f>
        <v>#N/A</v>
      </c>
      <c r="E619" s="282" t="e">
        <f>VLOOKUP(C619,Stock_list!D:L,9,FALSE)</f>
        <v>#N/A</v>
      </c>
      <c r="F619" s="170" t="s">
        <v>227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</v>
      </c>
      <c r="B620" s="114" t="str">
        <f>VLOOKUP(A620,'Data pick slip'!B:F,5,FALSE)</f>
        <v>KLJ-MC500-00</v>
      </c>
      <c r="C620" s="169">
        <v>110413</v>
      </c>
      <c r="D620" s="169" t="e">
        <f>VLOOKUP(C620,Stock_list!D:L,2,FALSE)</f>
        <v>#N/A</v>
      </c>
      <c r="E620" s="282" t="e">
        <f>VLOOKUP(C620,Stock_list!D:L,9,FALSE)</f>
        <v>#N/A</v>
      </c>
      <c r="F620" s="170" t="s">
        <v>227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276</v>
      </c>
      <c r="B621" s="114" t="str">
        <f>VLOOKUP(A621,'Data pick slip'!B:F,5,FALSE)</f>
        <v>KLJ-MC600-00</v>
      </c>
      <c r="C621" s="169">
        <v>110413</v>
      </c>
      <c r="D621" s="169" t="e">
        <f>VLOOKUP(C621,Stock_list!D:L,2,FALSE)</f>
        <v>#N/A</v>
      </c>
      <c r="E621" s="282" t="e">
        <f>VLOOKUP(C621,Stock_list!D:L,9,FALSE)</f>
        <v>#N/A</v>
      </c>
      <c r="F621" s="170" t="s">
        <v>227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272</v>
      </c>
      <c r="B622" s="114" t="str">
        <f>VLOOKUP(A622,'Data pick slip'!B:F,5,FALSE)</f>
        <v>KLJ-MC100-00</v>
      </c>
      <c r="C622" s="169">
        <v>110402</v>
      </c>
      <c r="D622" s="169" t="e">
        <f>VLOOKUP(C622,Stock_list!D:L,2,FALSE)</f>
        <v>#N/A</v>
      </c>
      <c r="E622" s="282" t="e">
        <f>VLOOKUP(C622,Stock_list!D:L,9,FALSE)</f>
        <v>#N/A</v>
      </c>
      <c r="F622" s="170" t="s">
        <v>227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273</v>
      </c>
      <c r="B623" s="114" t="str">
        <f>VLOOKUP(A623,'Data pick slip'!B:F,5,FALSE)</f>
        <v>KLJ-MC200-00</v>
      </c>
      <c r="C623" s="169">
        <v>110402</v>
      </c>
      <c r="D623" s="169" t="e">
        <f>VLOOKUP(C623,Stock_list!D:L,2,FALSE)</f>
        <v>#N/A</v>
      </c>
      <c r="E623" s="282" t="e">
        <f>VLOOKUP(C623,Stock_list!D:L,9,FALSE)</f>
        <v>#N/A</v>
      </c>
      <c r="F623" s="170" t="s">
        <v>227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274</v>
      </c>
      <c r="B624" s="114" t="str">
        <f>VLOOKUP(A624,'Data pick slip'!B:F,5,FALSE)</f>
        <v>KLJ-MC400-00</v>
      </c>
      <c r="C624" s="169">
        <v>110402</v>
      </c>
      <c r="D624" s="169" t="e">
        <f>VLOOKUP(C624,Stock_list!D:L,2,FALSE)</f>
        <v>#N/A</v>
      </c>
      <c r="E624" s="282" t="e">
        <f>VLOOKUP(C624,Stock_list!D:L,9,FALSE)</f>
        <v>#N/A</v>
      </c>
      <c r="F624" s="170" t="s">
        <v>227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</v>
      </c>
      <c r="B625" s="114" t="str">
        <f>VLOOKUP(A625,'Data pick slip'!B:F,5,FALSE)</f>
        <v>KLJ-MC500-00</v>
      </c>
      <c r="C625" s="169">
        <v>110402</v>
      </c>
      <c r="D625" s="169" t="e">
        <f>VLOOKUP(C625,Stock_list!D:L,2,FALSE)</f>
        <v>#N/A</v>
      </c>
      <c r="E625" s="282" t="e">
        <f>VLOOKUP(C625,Stock_list!D:L,9,FALSE)</f>
        <v>#N/A</v>
      </c>
      <c r="F625" s="170" t="s">
        <v>227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276</v>
      </c>
      <c r="B626" s="114" t="str">
        <f>VLOOKUP(A626,'Data pick slip'!B:F,5,FALSE)</f>
        <v>KLJ-MC600-00</v>
      </c>
      <c r="C626" s="169">
        <v>110402</v>
      </c>
      <c r="D626" s="169" t="e">
        <f>VLOOKUP(C626,Stock_list!D:L,2,FALSE)</f>
        <v>#N/A</v>
      </c>
      <c r="E626" s="282" t="e">
        <f>VLOOKUP(C626,Stock_list!D:L,9,FALSE)</f>
        <v>#N/A</v>
      </c>
      <c r="F626" s="170" t="s">
        <v>227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277</v>
      </c>
      <c r="B627" s="114" t="str">
        <f>VLOOKUP(A627,'Data pick slip'!B:F,5,FALSE)</f>
        <v>KLJ-MC700-00</v>
      </c>
      <c r="C627" s="169">
        <v>110413</v>
      </c>
      <c r="D627" s="169" t="e">
        <f>VLOOKUP(C627,Stock_list!D:L,2,FALSE)</f>
        <v>#N/A</v>
      </c>
      <c r="E627" s="282" t="e">
        <f>VLOOKUP(C627,Stock_list!D:L,9,FALSE)</f>
        <v>#N/A</v>
      </c>
      <c r="F627" s="170" t="s">
        <v>227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261</v>
      </c>
      <c r="B628" s="114" t="str">
        <f>VLOOKUP(A628,'Data pick slip'!B:F,5,FALSE)</f>
        <v>KHJ-MC100-00</v>
      </c>
      <c r="C628" s="169"/>
      <c r="D628" s="169"/>
      <c r="E628" s="282" t="s">
        <v>472</v>
      </c>
      <c r="F628" s="170" t="s">
        <v>270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264</v>
      </c>
      <c r="B629" s="114" t="str">
        <f>VLOOKUP(A629,'Data pick slip'!B:F,5,FALSE)</f>
        <v>KHJ-MC200-00</v>
      </c>
      <c r="C629" s="169"/>
      <c r="D629" s="169"/>
      <c r="E629" s="282" t="s">
        <v>472</v>
      </c>
      <c r="F629" s="170" t="s">
        <v>270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272</v>
      </c>
      <c r="B630" s="114" t="str">
        <f>VLOOKUP(A630,'Data pick slip'!B:F,5,FALSE)</f>
        <v>KLJ-MC100-00</v>
      </c>
      <c r="C630" s="169"/>
      <c r="D630" s="169"/>
      <c r="E630" s="282" t="s">
        <v>472</v>
      </c>
      <c r="F630" s="170" t="s">
        <v>270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267</v>
      </c>
      <c r="B631" s="114" t="str">
        <f>VLOOKUP(A631,'Data pick slip'!B:F,5,FALSE)</f>
        <v>KHJ-MC600-00</v>
      </c>
      <c r="C631" s="169"/>
      <c r="D631" s="169"/>
      <c r="E631" s="282" t="s">
        <v>472</v>
      </c>
      <c r="F631" s="170" t="s">
        <v>270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261</v>
      </c>
      <c r="B632" s="114" t="str">
        <f>VLOOKUP(A632,'Data pick slip'!B:F,5,FALSE)</f>
        <v>KHJ-MC100-00</v>
      </c>
      <c r="C632" s="169"/>
      <c r="D632" s="169"/>
      <c r="E632" s="282" t="s">
        <v>473</v>
      </c>
      <c r="F632" s="170" t="s">
        <v>270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264</v>
      </c>
      <c r="B633" s="114" t="str">
        <f>VLOOKUP(A633,'Data pick slip'!B:F,5,FALSE)</f>
        <v>KHJ-MC200-00</v>
      </c>
      <c r="C633" s="169"/>
      <c r="D633" s="169"/>
      <c r="E633" s="282" t="s">
        <v>473</v>
      </c>
      <c r="F633" s="170" t="s">
        <v>270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276</v>
      </c>
      <c r="B634" s="114" t="str">
        <f>VLOOKUP(A634,'Data pick slip'!B:F,5,FALSE)</f>
        <v>KLJ-MC600-00</v>
      </c>
      <c r="C634" s="169"/>
      <c r="D634" s="169"/>
      <c r="E634" s="282" t="s">
        <v>473</v>
      </c>
      <c r="F634" s="170" t="s">
        <v>270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261</v>
      </c>
      <c r="B635" s="114" t="str">
        <f>VLOOKUP(A635,'Data pick slip'!B:F,5,FALSE)</f>
        <v>KHJ-MC100-00</v>
      </c>
      <c r="C635" s="169"/>
      <c r="D635" s="169"/>
      <c r="E635" s="282" t="s">
        <v>474</v>
      </c>
      <c r="F635" s="170" t="s">
        <v>270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264</v>
      </c>
      <c r="B636" s="114" t="str">
        <f>VLOOKUP(A636,'Data pick slip'!B:F,5,FALSE)</f>
        <v>KHJ-MC200-00</v>
      </c>
      <c r="C636" s="169"/>
      <c r="D636" s="169"/>
      <c r="E636" s="282" t="s">
        <v>474</v>
      </c>
      <c r="F636" s="170" t="s">
        <v>270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261</v>
      </c>
      <c r="B637" s="114" t="str">
        <f>VLOOKUP(A637,'Data pick slip'!B:F,5,FALSE)</f>
        <v>KHJ-MC100-00</v>
      </c>
      <c r="C637" s="169"/>
      <c r="D637" s="169"/>
      <c r="E637" s="282" t="s">
        <v>475</v>
      </c>
      <c r="F637" s="170" t="s">
        <v>270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264</v>
      </c>
      <c r="B638" s="114" t="str">
        <f>VLOOKUP(A638,'Data pick slip'!B:F,5,FALSE)</f>
        <v>KHJ-MC200-00</v>
      </c>
      <c r="C638" s="169"/>
      <c r="D638" s="169"/>
      <c r="E638" s="282" t="s">
        <v>475</v>
      </c>
      <c r="F638" s="170" t="s">
        <v>270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261</v>
      </c>
      <c r="B639" s="114" t="str">
        <f>VLOOKUP(A639,'Data pick slip'!B:F,5,FALSE)</f>
        <v>KHJ-MC100-00</v>
      </c>
      <c r="C639" s="169"/>
      <c r="D639" s="169"/>
      <c r="E639" s="282" t="s">
        <v>476</v>
      </c>
      <c r="F639" s="170" t="s">
        <v>270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264</v>
      </c>
      <c r="B640" s="114" t="str">
        <f>VLOOKUP(A640,'Data pick slip'!B:F,5,FALSE)</f>
        <v>KHJ-MC200-00</v>
      </c>
      <c r="C640" s="169"/>
      <c r="D640" s="169"/>
      <c r="E640" s="282" t="s">
        <v>476</v>
      </c>
      <c r="F640" s="170" t="s">
        <v>270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272</v>
      </c>
      <c r="B641" s="114" t="str">
        <f>VLOOKUP(A641,'Data pick slip'!B:F,5,FALSE)</f>
        <v>KLJ-MC100-00</v>
      </c>
      <c r="C641" s="169"/>
      <c r="D641" s="169"/>
      <c r="E641" s="282" t="s">
        <v>476</v>
      </c>
      <c r="F641" s="170" t="s">
        <v>270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273</v>
      </c>
      <c r="B642" s="114" t="str">
        <f>VLOOKUP(A642,'Data pick slip'!B:F,5,FALSE)</f>
        <v>KLJ-MC200-00</v>
      </c>
      <c r="C642" s="169"/>
      <c r="D642" s="169"/>
      <c r="E642" s="282" t="s">
        <v>476</v>
      </c>
      <c r="F642" s="170" t="s">
        <v>270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274</v>
      </c>
      <c r="B643" s="114" t="str">
        <f>VLOOKUP(A643,'Data pick slip'!B:F,5,FALSE)</f>
        <v>KLJ-MC400-00</v>
      </c>
      <c r="C643" s="169"/>
      <c r="D643" s="169"/>
      <c r="E643" s="282" t="s">
        <v>476</v>
      </c>
      <c r="F643" s="170" t="s">
        <v>270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</v>
      </c>
      <c r="B644" s="114" t="str">
        <f>VLOOKUP(A644,'Data pick slip'!B:F,5,FALSE)</f>
        <v>KLJ-MC500-00</v>
      </c>
      <c r="C644" s="169"/>
      <c r="D644" s="169"/>
      <c r="E644" s="282" t="s">
        <v>476</v>
      </c>
      <c r="F644" s="170" t="s">
        <v>270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276</v>
      </c>
      <c r="B645" s="114" t="str">
        <f>VLOOKUP(A645,'Data pick slip'!B:F,5,FALSE)</f>
        <v>KLJ-MC600-00</v>
      </c>
      <c r="C645" s="169"/>
      <c r="D645" s="169"/>
      <c r="E645" s="282" t="s">
        <v>476</v>
      </c>
      <c r="F645" s="170" t="s">
        <v>270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261</v>
      </c>
      <c r="B646" s="114" t="str">
        <f>VLOOKUP(A646,'Data pick slip'!B:F,5,FALSE)</f>
        <v>KHJ-MC100-00</v>
      </c>
      <c r="C646" s="169">
        <v>110459</v>
      </c>
      <c r="D646" s="169" t="e">
        <f>VLOOKUP(C646,Stock_list!D:L,2,FALSE)</f>
        <v>#N/A</v>
      </c>
      <c r="E646" s="282" t="e">
        <f>VLOOKUP(C646,Stock_list!D:L,9,FALSE)</f>
        <v>#N/A</v>
      </c>
      <c r="F646" s="170" t="s">
        <v>227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264</v>
      </c>
      <c r="B647" s="114" t="str">
        <f>VLOOKUP(A647,'Data pick slip'!B:F,5,FALSE)</f>
        <v>KHJ-MC200-00</v>
      </c>
      <c r="C647" s="169">
        <v>110459</v>
      </c>
      <c r="D647" s="169" t="e">
        <f>VLOOKUP(C647,Stock_list!D:L,2,FALSE)</f>
        <v>#N/A</v>
      </c>
      <c r="E647" s="282" t="e">
        <f>VLOOKUP(C647,Stock_list!D:L,9,FALSE)</f>
        <v>#N/A</v>
      </c>
      <c r="F647" s="170" t="s">
        <v>227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265</v>
      </c>
      <c r="B648" s="114" t="str">
        <f>VLOOKUP(A648,'Data pick slip'!B:F,5,FALSE)</f>
        <v>KHJ-MC400-00</v>
      </c>
      <c r="C648" s="169">
        <v>110459</v>
      </c>
      <c r="D648" s="169" t="e">
        <f>VLOOKUP(C648,Stock_list!D:L,2,FALSE)</f>
        <v>#N/A</v>
      </c>
      <c r="E648" s="282" t="e">
        <f>VLOOKUP(C648,Stock_list!D:L,9,FALSE)</f>
        <v>#N/A</v>
      </c>
      <c r="F648" s="170" t="s">
        <v>227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285</v>
      </c>
      <c r="B649" s="114" t="str">
        <f>VLOOKUP(A649,'Data pick slip'!B:F,5,FALSE)</f>
        <v>KHJ-MC100-00</v>
      </c>
      <c r="C649" s="169"/>
      <c r="D649" s="169"/>
      <c r="E649" s="282" t="s">
        <v>477</v>
      </c>
      <c r="F649" s="170" t="s">
        <v>270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264</v>
      </c>
      <c r="B650" s="114" t="str">
        <f>VLOOKUP(A650,'Data pick slip'!B:F,5,FALSE)</f>
        <v>KHJ-MC200-00</v>
      </c>
      <c r="C650" s="169"/>
      <c r="D650" s="169"/>
      <c r="E650" s="282" t="s">
        <v>477</v>
      </c>
      <c r="F650" s="170" t="s">
        <v>270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265</v>
      </c>
      <c r="B651" s="114" t="str">
        <f>VLOOKUP(A651,'Data pick slip'!B:F,5,FALSE)</f>
        <v>KHJ-MC400-00</v>
      </c>
      <c r="C651" s="169"/>
      <c r="D651" s="169"/>
      <c r="E651" s="282" t="s">
        <v>477</v>
      </c>
      <c r="F651" s="170" t="s">
        <v>270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266</v>
      </c>
      <c r="B652" s="114" t="str">
        <f>VLOOKUP(A652,'Data pick slip'!B:F,5,FALSE)</f>
        <v>KHJ-MC500-00</v>
      </c>
      <c r="C652" s="169"/>
      <c r="D652" s="169"/>
      <c r="E652" s="282" t="s">
        <v>477</v>
      </c>
      <c r="F652" s="170" t="s">
        <v>270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267</v>
      </c>
      <c r="B653" s="114" t="str">
        <f>VLOOKUP(A653,'Data pick slip'!B:F,5,FALSE)</f>
        <v>KHJ-MC600-00</v>
      </c>
      <c r="C653" s="169"/>
      <c r="D653" s="169"/>
      <c r="E653" s="282" t="s">
        <v>477</v>
      </c>
      <c r="F653" s="170" t="s">
        <v>270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268</v>
      </c>
      <c r="B654" s="114" t="str">
        <f>VLOOKUP(A654,'Data pick slip'!B:F,5,FALSE)</f>
        <v>KHJ-MC700-00</v>
      </c>
      <c r="C654" s="169"/>
      <c r="D654" s="169"/>
      <c r="E654" s="282" t="s">
        <v>477</v>
      </c>
      <c r="F654" s="170" t="s">
        <v>270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261</v>
      </c>
      <c r="B655" s="114" t="str">
        <f>VLOOKUP(A655,'Data pick slip'!B:F,5,FALSE)</f>
        <v>KHJ-MC100-00</v>
      </c>
      <c r="C655" s="169"/>
      <c r="D655" s="169"/>
      <c r="E655" s="282" t="s">
        <v>478</v>
      </c>
      <c r="F655" s="170" t="s">
        <v>270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264</v>
      </c>
      <c r="B656" s="114" t="str">
        <f>VLOOKUP(A656,'Data pick slip'!B:F,5,FALSE)</f>
        <v>KHJ-MC200-00</v>
      </c>
      <c r="C656" s="169"/>
      <c r="D656" s="169"/>
      <c r="E656" s="282" t="s">
        <v>478</v>
      </c>
      <c r="F656" s="170" t="s">
        <v>270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268</v>
      </c>
      <c r="B657" s="114" t="str">
        <f>VLOOKUP(A657,'Data pick slip'!B:F,5,FALSE)</f>
        <v>KHJ-MC700-00</v>
      </c>
      <c r="C657" s="169"/>
      <c r="D657" s="169"/>
      <c r="E657" s="282" t="s">
        <v>478</v>
      </c>
      <c r="F657" s="170" t="s">
        <v>270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269</v>
      </c>
      <c r="B658" s="114" t="str">
        <f>VLOOKUP(A658,'Data pick slip'!B:F,5,FALSE)</f>
        <v>KHJ-MC800-00</v>
      </c>
      <c r="C658" s="169"/>
      <c r="D658" s="169"/>
      <c r="E658" s="282" t="s">
        <v>478</v>
      </c>
      <c r="F658" s="170" t="s">
        <v>270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285</v>
      </c>
      <c r="B659" s="114" t="str">
        <f>VLOOKUP(A659,'Data pick slip'!B:F,5,FALSE)</f>
        <v>KHJ-MC100-00</v>
      </c>
      <c r="C659" s="169"/>
      <c r="D659" s="169"/>
      <c r="E659" s="282" t="s">
        <v>479</v>
      </c>
      <c r="F659" s="170" t="s">
        <v>270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264</v>
      </c>
      <c r="B660" s="114" t="str">
        <f>VLOOKUP(A660,'Data pick slip'!B:F,5,FALSE)</f>
        <v>KHJ-MC200-00</v>
      </c>
      <c r="C660" s="169"/>
      <c r="D660" s="169"/>
      <c r="E660" s="282" t="s">
        <v>479</v>
      </c>
      <c r="F660" s="170" t="s">
        <v>270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265</v>
      </c>
      <c r="B661" s="114" t="str">
        <f>VLOOKUP(A661,'Data pick slip'!B:F,5,FALSE)</f>
        <v>KHJ-MC400-00</v>
      </c>
      <c r="C661" s="169"/>
      <c r="D661" s="169"/>
      <c r="E661" s="282" t="s">
        <v>479</v>
      </c>
      <c r="F661" s="170" t="s">
        <v>270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268</v>
      </c>
      <c r="B662" s="114" t="str">
        <f>VLOOKUP(A662,'Data pick slip'!B:F,5,FALSE)</f>
        <v>KHJ-MC700-00</v>
      </c>
      <c r="C662" s="169"/>
      <c r="D662" s="169"/>
      <c r="E662" s="282" t="s">
        <v>479</v>
      </c>
      <c r="F662" s="170" t="s">
        <v>270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285</v>
      </c>
      <c r="B663" s="114" t="str">
        <f>VLOOKUP(A663,'Data pick slip'!B:F,5,FALSE)</f>
        <v>KHJ-MC100-00</v>
      </c>
      <c r="C663" s="169"/>
      <c r="D663" s="169"/>
      <c r="E663" s="282" t="s">
        <v>480</v>
      </c>
      <c r="F663" s="170" t="s">
        <v>270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266</v>
      </c>
      <c r="B664" s="114" t="str">
        <f>VLOOKUP(A664,'Data pick slip'!B:F,5,FALSE)</f>
        <v>KHJ-MC500-00</v>
      </c>
      <c r="C664" s="169"/>
      <c r="D664" s="169"/>
      <c r="E664" s="282" t="s">
        <v>480</v>
      </c>
      <c r="F664" s="170" t="s">
        <v>270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285</v>
      </c>
      <c r="B665" s="114" t="str">
        <f>VLOOKUP(A665,'Data pick slip'!B:F,5,FALSE)</f>
        <v>KHJ-MC100-00</v>
      </c>
      <c r="C665" s="169"/>
      <c r="D665" s="169"/>
      <c r="E665" s="282" t="s">
        <v>481</v>
      </c>
      <c r="F665" s="170" t="s">
        <v>270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264</v>
      </c>
      <c r="B666" s="114" t="str">
        <f>VLOOKUP(A666,'Data pick slip'!B:F,5,FALSE)</f>
        <v>KHJ-MC200-00</v>
      </c>
      <c r="C666" s="169"/>
      <c r="D666" s="169"/>
      <c r="E666" s="282" t="s">
        <v>481</v>
      </c>
      <c r="F666" s="170" t="s">
        <v>270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267</v>
      </c>
      <c r="B667" s="114" t="str">
        <f>VLOOKUP(A667,'Data pick slip'!B:F,5,FALSE)</f>
        <v>KHJ-MC600-00</v>
      </c>
      <c r="C667" s="169"/>
      <c r="D667" s="169"/>
      <c r="E667" s="282" t="s">
        <v>481</v>
      </c>
      <c r="F667" s="170" t="s">
        <v>270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285</v>
      </c>
      <c r="B668" s="114" t="str">
        <f>VLOOKUP(A668,'Data pick slip'!B:F,5,FALSE)</f>
        <v>KHJ-MC100-00</v>
      </c>
      <c r="C668" s="169"/>
      <c r="D668" s="169"/>
      <c r="E668" s="282" t="s">
        <v>482</v>
      </c>
      <c r="F668" s="170" t="s">
        <v>270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267</v>
      </c>
      <c r="B669" s="114" t="str">
        <f>VLOOKUP(A669,'Data pick slip'!B:F,5,FALSE)</f>
        <v>KHJ-MC600-00</v>
      </c>
      <c r="C669" s="169"/>
      <c r="D669" s="169"/>
      <c r="E669" s="282" t="s">
        <v>482</v>
      </c>
      <c r="F669" s="170" t="s">
        <v>270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268</v>
      </c>
      <c r="B670" s="114" t="str">
        <f>VLOOKUP(A670,'Data pick slip'!B:F,5,FALSE)</f>
        <v>KHJ-MC700-00</v>
      </c>
      <c r="C670" s="169"/>
      <c r="D670" s="169"/>
      <c r="E670" s="282" t="s">
        <v>482</v>
      </c>
      <c r="F670" s="170" t="s">
        <v>270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268</v>
      </c>
      <c r="B671" s="114" t="str">
        <f>VLOOKUP(A671,'Data pick slip'!B:F,5,FALSE)</f>
        <v>KHJ-MC700-00</v>
      </c>
      <c r="C671" s="169"/>
      <c r="D671" s="169"/>
      <c r="E671" s="282" t="s">
        <v>483</v>
      </c>
      <c r="F671" s="170" t="s">
        <v>270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261</v>
      </c>
      <c r="B672" s="114" t="str">
        <f>VLOOKUP(A672,'Data pick slip'!B:F,5,FALSE)</f>
        <v>KHJ-MC100-00</v>
      </c>
      <c r="C672" s="169">
        <v>110576</v>
      </c>
      <c r="D672" s="169" t="e">
        <f>VLOOKUP(C672,Stock_list!D:L,2,FALSE)</f>
        <v>#N/A</v>
      </c>
      <c r="E672" s="282" t="e">
        <f>VLOOKUP(C672,Stock_list!D:L,9,FALSE)</f>
        <v>#N/A</v>
      </c>
      <c r="F672" s="170" t="s">
        <v>227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261</v>
      </c>
      <c r="B673" s="114" t="str">
        <f>VLOOKUP(A673,'Data pick slip'!B:F,5,FALSE)</f>
        <v>KHJ-MC100-00</v>
      </c>
      <c r="C673" s="169">
        <v>110578</v>
      </c>
      <c r="D673" s="169" t="e">
        <f>VLOOKUP(C673,Stock_list!D:L,2,FALSE)</f>
        <v>#N/A</v>
      </c>
      <c r="E673" s="282" t="e">
        <f>VLOOKUP(C673,Stock_list!D:L,9,FALSE)</f>
        <v>#N/A</v>
      </c>
      <c r="F673" s="170" t="s">
        <v>227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264</v>
      </c>
      <c r="B674" s="114" t="str">
        <f>VLOOKUP(A674,'Data pick slip'!B:F,5,FALSE)</f>
        <v>KHJ-MC200-00</v>
      </c>
      <c r="C674" s="169">
        <v>110578</v>
      </c>
      <c r="D674" s="169" t="e">
        <f>VLOOKUP(C674,Stock_list!D:L,2,FALSE)</f>
        <v>#N/A</v>
      </c>
      <c r="E674" s="282" t="e">
        <f>VLOOKUP(C674,Stock_list!D:L,9,FALSE)</f>
        <v>#N/A</v>
      </c>
      <c r="F674" s="170" t="s">
        <v>227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266</v>
      </c>
      <c r="B675" s="114" t="str">
        <f>VLOOKUP(A675,'Data pick slip'!B:F,5,FALSE)</f>
        <v>KHJ-MC500-00</v>
      </c>
      <c r="C675" s="169">
        <v>110578</v>
      </c>
      <c r="D675" s="169" t="e">
        <f>VLOOKUP(C675,Stock_list!D:L,2,FALSE)</f>
        <v>#N/A</v>
      </c>
      <c r="E675" s="282" t="e">
        <f>VLOOKUP(C675,Stock_list!D:L,9,FALSE)</f>
        <v>#N/A</v>
      </c>
      <c r="F675" s="170" t="s">
        <v>227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261</v>
      </c>
      <c r="B676" s="114" t="str">
        <f>VLOOKUP(A676,'Data pick slip'!B:F,5,FALSE)</f>
        <v>KHJ-MC100-00</v>
      </c>
      <c r="C676" s="169">
        <v>110579</v>
      </c>
      <c r="D676" s="169" t="e">
        <f>VLOOKUP(C676,Stock_list!D:L,2,FALSE)</f>
        <v>#N/A</v>
      </c>
      <c r="E676" s="282" t="e">
        <f>VLOOKUP(C676,Stock_list!D:L,9,FALSE)</f>
        <v>#N/A</v>
      </c>
      <c r="F676" s="170" t="s">
        <v>227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264</v>
      </c>
      <c r="B677" s="114" t="str">
        <f>VLOOKUP(A677,'Data pick slip'!B:F,5,FALSE)</f>
        <v>KHJ-MC200-00</v>
      </c>
      <c r="C677" s="169">
        <v>110579</v>
      </c>
      <c r="D677" s="169" t="e">
        <f>VLOOKUP(C677,Stock_list!D:L,2,FALSE)</f>
        <v>#N/A</v>
      </c>
      <c r="E677" s="282" t="e">
        <f>VLOOKUP(C677,Stock_list!D:L,9,FALSE)</f>
        <v>#N/A</v>
      </c>
      <c r="F677" s="170" t="s">
        <v>227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269</v>
      </c>
      <c r="B678" s="114" t="str">
        <f>VLOOKUP(A678,'Data pick slip'!B:F,5,FALSE)</f>
        <v>KHJ-MC800-00</v>
      </c>
      <c r="C678" s="169">
        <v>110579</v>
      </c>
      <c r="D678" s="169" t="e">
        <f>VLOOKUP(C678,Stock_list!D:L,2,FALSE)</f>
        <v>#N/A</v>
      </c>
      <c r="E678" s="282" t="e">
        <f>VLOOKUP(C678,Stock_list!D:L,9,FALSE)</f>
        <v>#N/A</v>
      </c>
      <c r="F678" s="170" t="s">
        <v>227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261</v>
      </c>
      <c r="B679" s="114" t="str">
        <f>VLOOKUP(A679,'Data pick slip'!B:F,5,FALSE)</f>
        <v>KHJ-MC100-00</v>
      </c>
      <c r="C679" s="169">
        <v>110580</v>
      </c>
      <c r="D679" s="169" t="e">
        <f>VLOOKUP(C679,Stock_list!D:L,2,FALSE)</f>
        <v>#N/A</v>
      </c>
      <c r="E679" s="282" t="e">
        <f>VLOOKUP(C679,Stock_list!D:L,9,FALSE)</f>
        <v>#N/A</v>
      </c>
      <c r="F679" s="170" t="s">
        <v>227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261</v>
      </c>
      <c r="B680" s="114" t="str">
        <f>VLOOKUP(A680,'Data pick slip'!B:F,5,FALSE)</f>
        <v>KHJ-MC100-00</v>
      </c>
      <c r="C680" s="169">
        <v>110581</v>
      </c>
      <c r="D680" s="169" t="e">
        <f>VLOOKUP(C680,Stock_list!D:L,2,FALSE)</f>
        <v>#N/A</v>
      </c>
      <c r="E680" s="282" t="e">
        <f>VLOOKUP(C680,Stock_list!D:L,9,FALSE)</f>
        <v>#N/A</v>
      </c>
      <c r="F680" s="170" t="s">
        <v>227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261</v>
      </c>
      <c r="B681" s="114" t="str">
        <f>VLOOKUP(A681,'Data pick slip'!B:F,5,FALSE)</f>
        <v>KHJ-MC100-00</v>
      </c>
      <c r="C681" s="169">
        <v>110582</v>
      </c>
      <c r="D681" s="169" t="e">
        <f>VLOOKUP(C681,Stock_list!D:L,2,FALSE)</f>
        <v>#N/A</v>
      </c>
      <c r="E681" s="282" t="e">
        <f>VLOOKUP(C681,Stock_list!D:L,9,FALSE)</f>
        <v>#N/A</v>
      </c>
      <c r="F681" s="170" t="s">
        <v>227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264</v>
      </c>
      <c r="B682" s="114" t="str">
        <f>VLOOKUP(A682,'Data pick slip'!B:F,5,FALSE)</f>
        <v>KHJ-MC200-00</v>
      </c>
      <c r="C682" s="169">
        <v>110582</v>
      </c>
      <c r="D682" s="169" t="e">
        <f>VLOOKUP(C682,Stock_list!D:L,2,FALSE)</f>
        <v>#N/A</v>
      </c>
      <c r="E682" s="282" t="e">
        <f>VLOOKUP(C682,Stock_list!D:L,9,FALSE)</f>
        <v>#N/A</v>
      </c>
      <c r="F682" s="170" t="s">
        <v>227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2" t="s">
        <v>261</v>
      </c>
      <c r="B683" s="293" t="str">
        <f>VLOOKUP(A683,'Data pick slip'!B:F,5,FALSE)</f>
        <v>KHJ-MC100-00</v>
      </c>
      <c r="C683" s="294"/>
      <c r="D683" s="294" t="s">
        <v>484</v>
      </c>
      <c r="E683" s="304" t="e">
        <f>VLOOKUP(C683,Stock_list!D:L,9,FALSE)</f>
        <v>#N/A</v>
      </c>
      <c r="F683" s="295" t="s">
        <v>270</v>
      </c>
      <c r="G683" s="296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2" t="s">
        <v>261</v>
      </c>
      <c r="B684" s="293" t="str">
        <f>VLOOKUP(A684,'Data pick slip'!B:F,5,FALSE)</f>
        <v>KHJ-MC100-00</v>
      </c>
      <c r="C684" s="294"/>
      <c r="D684" s="294" t="s">
        <v>484</v>
      </c>
      <c r="E684" s="304" t="e">
        <f>VLOOKUP(C684,Stock_list!D:L,9,FALSE)</f>
        <v>#N/A</v>
      </c>
      <c r="F684" s="295" t="s">
        <v>227</v>
      </c>
      <c r="G684" s="296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272</v>
      </c>
      <c r="B685" s="114" t="str">
        <f>VLOOKUP(A685,'Data pick slip'!B:F,5,FALSE)</f>
        <v>KLJ-MC100-00</v>
      </c>
      <c r="C685" s="169"/>
      <c r="D685" s="169"/>
      <c r="E685" s="282" t="s">
        <v>485</v>
      </c>
      <c r="F685" s="170" t="s">
        <v>270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273</v>
      </c>
      <c r="B686" s="114" t="str">
        <f>VLOOKUP(A686,'Data pick slip'!B:F,5,FALSE)</f>
        <v>KLJ-MC200-00</v>
      </c>
      <c r="C686" s="169"/>
      <c r="D686" s="169"/>
      <c r="E686" s="282" t="s">
        <v>485</v>
      </c>
      <c r="F686" s="170" t="s">
        <v>270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274</v>
      </c>
      <c r="B687" s="114" t="str">
        <f>VLOOKUP(A687,'Data pick slip'!B:F,5,FALSE)</f>
        <v>KLJ-MC400-00</v>
      </c>
      <c r="C687" s="169"/>
      <c r="D687" s="169"/>
      <c r="E687" s="282" t="s">
        <v>485</v>
      </c>
      <c r="F687" s="170" t="s">
        <v>270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</v>
      </c>
      <c r="B688" s="114" t="str">
        <f>VLOOKUP(A688,'Data pick slip'!B:F,5,FALSE)</f>
        <v>KLJ-MC500-00</v>
      </c>
      <c r="C688" s="169"/>
      <c r="D688" s="169"/>
      <c r="E688" s="282" t="s">
        <v>485</v>
      </c>
      <c r="F688" s="170" t="s">
        <v>270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276</v>
      </c>
      <c r="B689" s="114" t="str">
        <f>VLOOKUP(A689,'Data pick slip'!B:F,5,FALSE)</f>
        <v>KLJ-MC600-00</v>
      </c>
      <c r="C689" s="169"/>
      <c r="D689" s="169"/>
      <c r="E689" s="282" t="s">
        <v>485</v>
      </c>
      <c r="F689" s="170" t="s">
        <v>270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261</v>
      </c>
      <c r="B690" s="114" t="str">
        <f>VLOOKUP(A690,'Data pick slip'!B:F,5,FALSE)</f>
        <v>KHJ-MC100-00</v>
      </c>
      <c r="C690" s="169">
        <v>110593</v>
      </c>
      <c r="D690" s="169" t="e">
        <f>VLOOKUP(C690,Stock_list!D:L,2,FALSE)</f>
        <v>#N/A</v>
      </c>
      <c r="E690" s="282" t="e">
        <f>VLOOKUP(C690,Stock_list!D:L,9,FALSE)</f>
        <v>#N/A</v>
      </c>
      <c r="F690" s="170" t="s">
        <v>227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261</v>
      </c>
      <c r="B691" s="114" t="str">
        <f>VLOOKUP(A691,'Data pick slip'!B:F,5,FALSE)</f>
        <v>KHJ-MC100-00</v>
      </c>
      <c r="C691" s="169">
        <v>110594</v>
      </c>
      <c r="D691" s="169" t="e">
        <f>VLOOKUP(C691,Stock_list!D:L,2,FALSE)</f>
        <v>#N/A</v>
      </c>
      <c r="E691" s="282" t="e">
        <f>VLOOKUP(C691,Stock_list!D:L,9,FALSE)</f>
        <v>#N/A</v>
      </c>
      <c r="F691" s="170" t="s">
        <v>227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261</v>
      </c>
      <c r="B692" s="114" t="str">
        <f>VLOOKUP(A692,'Data pick slip'!B:F,5,FALSE)</f>
        <v>KHJ-MC100-00</v>
      </c>
      <c r="C692" s="169">
        <v>110617</v>
      </c>
      <c r="D692" s="169" t="e">
        <f>VLOOKUP(C692,Stock_list!D:L,2,FALSE)</f>
        <v>#N/A</v>
      </c>
      <c r="E692" s="282" t="e">
        <f>VLOOKUP(C692,Stock_list!D:L,9,FALSE)</f>
        <v>#N/A</v>
      </c>
      <c r="F692" s="170" t="s">
        <v>227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266</v>
      </c>
      <c r="B693" s="114" t="str">
        <f>VLOOKUP(A693,'Data pick slip'!B:F,5,FALSE)</f>
        <v>KHJ-MC500-00</v>
      </c>
      <c r="C693" s="169">
        <v>110617</v>
      </c>
      <c r="D693" s="169" t="e">
        <f>VLOOKUP(C693,Stock_list!D:L,2,FALSE)</f>
        <v>#N/A</v>
      </c>
      <c r="E693" s="282" t="e">
        <f>VLOOKUP(C693,Stock_list!D:L,9,FALSE)</f>
        <v>#N/A</v>
      </c>
      <c r="F693" s="170" t="s">
        <v>227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268</v>
      </c>
      <c r="B694" s="114" t="str">
        <f>VLOOKUP(A694,'Data pick slip'!B:F,5,FALSE)</f>
        <v>KHJ-MC700-00</v>
      </c>
      <c r="C694" s="169">
        <v>110617</v>
      </c>
      <c r="D694" s="169" t="e">
        <f>VLOOKUP(C694,Stock_list!D:L,2,FALSE)</f>
        <v>#N/A</v>
      </c>
      <c r="E694" s="282" t="e">
        <f>VLOOKUP(C694,Stock_list!D:L,9,FALSE)</f>
        <v>#N/A</v>
      </c>
      <c r="F694" s="170" t="s">
        <v>227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269</v>
      </c>
      <c r="B695" s="114" t="str">
        <f>VLOOKUP(A695,'Data pick slip'!B:F,5,FALSE)</f>
        <v>KHJ-MC800-00</v>
      </c>
      <c r="C695" s="169">
        <v>110617</v>
      </c>
      <c r="D695" s="169" t="e">
        <f>VLOOKUP(C695,Stock_list!D:L,2,FALSE)</f>
        <v>#N/A</v>
      </c>
      <c r="E695" s="282" t="e">
        <f>VLOOKUP(C695,Stock_list!D:L,9,FALSE)</f>
        <v>#N/A</v>
      </c>
      <c r="F695" s="170" t="s">
        <v>227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261</v>
      </c>
      <c r="B696" s="114" t="str">
        <f>VLOOKUP(A696,'Data pick slip'!B:F,5,FALSE)</f>
        <v>KHJ-MC100-00</v>
      </c>
      <c r="C696" s="169">
        <v>110618</v>
      </c>
      <c r="D696" s="169" t="e">
        <f>VLOOKUP(C696,Stock_list!D:L,2,FALSE)</f>
        <v>#N/A</v>
      </c>
      <c r="E696" s="282" t="e">
        <f>VLOOKUP(C696,Stock_list!D:L,9,FALSE)</f>
        <v>#N/A</v>
      </c>
      <c r="F696" s="170" t="s">
        <v>227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265</v>
      </c>
      <c r="B697" s="114" t="str">
        <f>VLOOKUP(A697,'Data pick slip'!B:F,5,FALSE)</f>
        <v>KHJ-MC400-00</v>
      </c>
      <c r="C697" s="169">
        <v>110618</v>
      </c>
      <c r="D697" s="169" t="e">
        <f>VLOOKUP(C697,Stock_list!D:L,2,FALSE)</f>
        <v>#N/A</v>
      </c>
      <c r="E697" s="282" t="e">
        <f>VLOOKUP(C697,Stock_list!D:L,9,FALSE)</f>
        <v>#N/A</v>
      </c>
      <c r="F697" s="170" t="s">
        <v>227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266</v>
      </c>
      <c r="B698" s="114" t="str">
        <f>VLOOKUP(A698,'Data pick slip'!B:F,5,FALSE)</f>
        <v>KHJ-MC500-00</v>
      </c>
      <c r="C698" s="169">
        <v>110618</v>
      </c>
      <c r="D698" s="169" t="e">
        <f>VLOOKUP(C698,Stock_list!D:L,2,FALSE)</f>
        <v>#N/A</v>
      </c>
      <c r="E698" s="282" t="e">
        <f>VLOOKUP(C698,Stock_list!D:L,9,FALSE)</f>
        <v>#N/A</v>
      </c>
      <c r="F698" s="170" t="s">
        <v>227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261</v>
      </c>
      <c r="B699" s="114" t="str">
        <f>VLOOKUP(A699,'Data pick slip'!B:F,5,FALSE)</f>
        <v>KHJ-MC100-00</v>
      </c>
      <c r="C699" s="169">
        <v>110619</v>
      </c>
      <c r="D699" s="169" t="e">
        <f>VLOOKUP(C699,Stock_list!D:L,2,FALSE)</f>
        <v>#N/A</v>
      </c>
      <c r="E699" s="282" t="e">
        <f>VLOOKUP(C699,Stock_list!D:L,9,FALSE)</f>
        <v>#N/A</v>
      </c>
      <c r="F699" s="170" t="s">
        <v>227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266</v>
      </c>
      <c r="B700" s="114" t="str">
        <f>VLOOKUP(A700,'Data pick slip'!B:F,5,FALSE)</f>
        <v>KHJ-MC500-00</v>
      </c>
      <c r="C700" s="169">
        <v>110619</v>
      </c>
      <c r="D700" s="169" t="e">
        <f>VLOOKUP(C700,Stock_list!D:L,2,FALSE)</f>
        <v>#N/A</v>
      </c>
      <c r="E700" s="282" t="e">
        <f>VLOOKUP(C700,Stock_list!D:L,9,FALSE)</f>
        <v>#N/A</v>
      </c>
      <c r="F700" s="170" t="s">
        <v>227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261</v>
      </c>
      <c r="B701" s="114" t="str">
        <f>VLOOKUP(A701,'Data pick slip'!B:F,5,FALSE)</f>
        <v>KHJ-MC100-00</v>
      </c>
      <c r="C701" s="169">
        <v>110620</v>
      </c>
      <c r="D701" s="169" t="e">
        <f>VLOOKUP(C701,Stock_list!D:L,2,FALSE)</f>
        <v>#N/A</v>
      </c>
      <c r="E701" s="282" t="e">
        <f>VLOOKUP(C701,Stock_list!D:L,9,FALSE)</f>
        <v>#N/A</v>
      </c>
      <c r="F701" s="170" t="s">
        <v>227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285</v>
      </c>
      <c r="B702" s="114" t="str">
        <f>VLOOKUP(A702,'Data pick slip'!B:F,5,FALSE)</f>
        <v>KHJ-MC100-00</v>
      </c>
      <c r="C702" s="169">
        <v>110634</v>
      </c>
      <c r="D702" s="169" t="e">
        <f>VLOOKUP(C702,Stock_list!D:L,2,FALSE)</f>
        <v>#N/A</v>
      </c>
      <c r="E702" s="282" t="e">
        <f>VLOOKUP(C702,Stock_list!D:L,9,FALSE)</f>
        <v>#N/A</v>
      </c>
      <c r="F702" s="170" t="s">
        <v>227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264</v>
      </c>
      <c r="B703" s="114" t="str">
        <f>VLOOKUP(A703,'Data pick slip'!B:F,5,FALSE)</f>
        <v>KHJ-MC200-00</v>
      </c>
      <c r="C703" s="169">
        <v>110634</v>
      </c>
      <c r="D703" s="169" t="e">
        <f>VLOOKUP(C703,Stock_list!D:L,2,FALSE)</f>
        <v>#N/A</v>
      </c>
      <c r="E703" s="282" t="e">
        <f>VLOOKUP(C703,Stock_list!D:L,9,FALSE)</f>
        <v>#N/A</v>
      </c>
      <c r="F703" s="170" t="s">
        <v>227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265</v>
      </c>
      <c r="B704" s="114" t="str">
        <f>VLOOKUP(A704,'Data pick slip'!B:F,5,FALSE)</f>
        <v>KHJ-MC400-00</v>
      </c>
      <c r="C704" s="169">
        <v>110634</v>
      </c>
      <c r="D704" s="169" t="e">
        <f>VLOOKUP(C704,Stock_list!D:L,2,FALSE)</f>
        <v>#N/A</v>
      </c>
      <c r="E704" s="282" t="e">
        <f>VLOOKUP(C704,Stock_list!D:L,9,FALSE)</f>
        <v>#N/A</v>
      </c>
      <c r="F704" s="170" t="s">
        <v>227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266</v>
      </c>
      <c r="B705" s="114" t="str">
        <f>VLOOKUP(A705,'Data pick slip'!B:F,5,FALSE)</f>
        <v>KHJ-MC500-00</v>
      </c>
      <c r="C705" s="169">
        <v>110634</v>
      </c>
      <c r="D705" s="169" t="e">
        <f>VLOOKUP(C705,Stock_list!D:L,2,FALSE)</f>
        <v>#N/A</v>
      </c>
      <c r="E705" s="282" t="e">
        <f>VLOOKUP(C705,Stock_list!D:L,9,FALSE)</f>
        <v>#N/A</v>
      </c>
      <c r="F705" s="170" t="s">
        <v>227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267</v>
      </c>
      <c r="B706" s="114" t="str">
        <f>VLOOKUP(A706,'Data pick slip'!B:F,5,FALSE)</f>
        <v>KHJ-MC600-00</v>
      </c>
      <c r="C706" s="169">
        <v>110634</v>
      </c>
      <c r="D706" s="169" t="e">
        <f>VLOOKUP(C706,Stock_list!D:L,2,FALSE)</f>
        <v>#N/A</v>
      </c>
      <c r="E706" s="282" t="e">
        <f>VLOOKUP(C706,Stock_list!D:L,9,FALSE)</f>
        <v>#N/A</v>
      </c>
      <c r="F706" s="170" t="s">
        <v>227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268</v>
      </c>
      <c r="B707" s="114" t="str">
        <f>VLOOKUP(A707,'Data pick slip'!B:F,5,FALSE)</f>
        <v>KHJ-MC700-00</v>
      </c>
      <c r="C707" s="169">
        <v>110634</v>
      </c>
      <c r="D707" s="169" t="e">
        <f>VLOOKUP(C707,Stock_list!D:L,2,FALSE)</f>
        <v>#N/A</v>
      </c>
      <c r="E707" s="282" t="e">
        <f>VLOOKUP(C707,Stock_list!D:L,9,FALSE)</f>
        <v>#N/A</v>
      </c>
      <c r="F707" s="170" t="s">
        <v>227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269</v>
      </c>
      <c r="B708" s="114" t="str">
        <f>VLOOKUP(A708,'Data pick slip'!B:F,5,FALSE)</f>
        <v>KHJ-MC800-00</v>
      </c>
      <c r="C708" s="169">
        <v>110634</v>
      </c>
      <c r="D708" s="169" t="e">
        <f>VLOOKUP(C708,Stock_list!D:L,2,FALSE)</f>
        <v>#N/A</v>
      </c>
      <c r="E708" s="282" t="e">
        <f>VLOOKUP(C708,Stock_list!D:L,9,FALSE)</f>
        <v>#N/A</v>
      </c>
      <c r="F708" s="170" t="s">
        <v>227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285</v>
      </c>
      <c r="B709" s="114" t="str">
        <f>VLOOKUP(A709,'Data pick slip'!B:F,5,FALSE)</f>
        <v>KHJ-MC100-00</v>
      </c>
      <c r="C709" s="169">
        <v>110635</v>
      </c>
      <c r="D709" s="169" t="e">
        <f>VLOOKUP(C709,Stock_list!D:L,2,FALSE)</f>
        <v>#N/A</v>
      </c>
      <c r="E709" s="282" t="e">
        <f>VLOOKUP(C709,Stock_list!D:L,9,FALSE)</f>
        <v>#N/A</v>
      </c>
      <c r="F709" s="170" t="s">
        <v>227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266</v>
      </c>
      <c r="B710" s="114" t="str">
        <f>VLOOKUP(A710,'Data pick slip'!B:F,5,FALSE)</f>
        <v>KHJ-MC500-00</v>
      </c>
      <c r="C710" s="169">
        <v>110635</v>
      </c>
      <c r="D710" s="169" t="e">
        <f>VLOOKUP(C710,Stock_list!D:L,2,FALSE)</f>
        <v>#N/A</v>
      </c>
      <c r="E710" s="282" t="e">
        <f>VLOOKUP(C710,Stock_list!D:L,9,FALSE)</f>
        <v>#N/A</v>
      </c>
      <c r="F710" s="170" t="s">
        <v>227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267</v>
      </c>
      <c r="B711" s="114" t="str">
        <f>VLOOKUP(A711,'Data pick slip'!B:F,5,FALSE)</f>
        <v>KHJ-MC600-00</v>
      </c>
      <c r="C711" s="169">
        <v>110635</v>
      </c>
      <c r="D711" s="169" t="e">
        <f>VLOOKUP(C711,Stock_list!D:L,2,FALSE)</f>
        <v>#N/A</v>
      </c>
      <c r="E711" s="282" t="e">
        <f>VLOOKUP(C711,Stock_list!D:L,9,FALSE)</f>
        <v>#N/A</v>
      </c>
      <c r="F711" s="170" t="s">
        <v>227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261</v>
      </c>
      <c r="B712" s="114" t="str">
        <f>VLOOKUP(A712,'Data pick slip'!B:F,5,FALSE)</f>
        <v>KHJ-MC100-00</v>
      </c>
      <c r="C712" s="169"/>
      <c r="D712" s="169"/>
      <c r="E712" s="282" t="s">
        <v>486</v>
      </c>
      <c r="F712" s="170" t="s">
        <v>270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266</v>
      </c>
      <c r="B713" s="114" t="str">
        <f>VLOOKUP(A713,'Data pick slip'!B:F,5,FALSE)</f>
        <v>KHJ-MC500-00</v>
      </c>
      <c r="C713" s="169"/>
      <c r="D713" s="169"/>
      <c r="E713" s="282" t="s">
        <v>486</v>
      </c>
      <c r="F713" s="170" t="s">
        <v>270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272</v>
      </c>
      <c r="B714" s="114" t="str">
        <f>VLOOKUP(A714,'Data pick slip'!B:F,5,FALSE)</f>
        <v>KLJ-MC100-00</v>
      </c>
      <c r="C714" s="169"/>
      <c r="D714" s="169"/>
      <c r="E714" s="282" t="s">
        <v>486</v>
      </c>
      <c r="F714" s="170" t="s">
        <v>270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273</v>
      </c>
      <c r="B715" s="114" t="str">
        <f>VLOOKUP(A715,'Data pick slip'!B:F,5,FALSE)</f>
        <v>KLJ-MC200-00</v>
      </c>
      <c r="C715" s="169"/>
      <c r="D715" s="169"/>
      <c r="E715" s="282" t="s">
        <v>486</v>
      </c>
      <c r="F715" s="170" t="s">
        <v>270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261</v>
      </c>
      <c r="B716" s="114" t="str">
        <f>VLOOKUP(A716,'Data pick slip'!B:F,5,FALSE)</f>
        <v>KHJ-MC100-00</v>
      </c>
      <c r="C716" s="169">
        <v>110630</v>
      </c>
      <c r="D716" s="169" t="e">
        <f>VLOOKUP(C716,Stock_list!D:L,2,FALSE)</f>
        <v>#N/A</v>
      </c>
      <c r="E716" s="282" t="e">
        <f>VLOOKUP(C716,Stock_list!D:L,9,FALSE)</f>
        <v>#N/A</v>
      </c>
      <c r="F716" s="170" t="s">
        <v>227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285</v>
      </c>
      <c r="B717" s="114" t="str">
        <f>VLOOKUP(A717,'Data pick slip'!B:F,5,FALSE)</f>
        <v>KHJ-MC100-00</v>
      </c>
      <c r="C717" s="169">
        <v>110664</v>
      </c>
      <c r="D717" s="169" t="e">
        <f>VLOOKUP(C717,Stock_list!D:L,2,FALSE)</f>
        <v>#N/A</v>
      </c>
      <c r="E717" s="282" t="e">
        <f>VLOOKUP(C717,Stock_list!D:L,9,FALSE)</f>
        <v>#N/A</v>
      </c>
      <c r="F717" s="170" t="s">
        <v>227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264</v>
      </c>
      <c r="B718" s="114" t="str">
        <f>VLOOKUP(A718,'Data pick slip'!B:F,5,FALSE)</f>
        <v>KHJ-MC200-00</v>
      </c>
      <c r="C718" s="169">
        <v>110664</v>
      </c>
      <c r="D718" s="169" t="e">
        <f>VLOOKUP(C718,Stock_list!D:L,2,FALSE)</f>
        <v>#N/A</v>
      </c>
      <c r="E718" s="282" t="e">
        <f>VLOOKUP(C718,Stock_list!D:L,9,FALSE)</f>
        <v>#N/A</v>
      </c>
      <c r="F718" s="170" t="s">
        <v>227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265</v>
      </c>
      <c r="B719" s="114" t="str">
        <f>VLOOKUP(A719,'Data pick slip'!B:F,5,FALSE)</f>
        <v>KHJ-MC400-00</v>
      </c>
      <c r="C719" s="169">
        <v>110664</v>
      </c>
      <c r="D719" s="169" t="e">
        <f>VLOOKUP(C719,Stock_list!D:L,2,FALSE)</f>
        <v>#N/A</v>
      </c>
      <c r="E719" s="282" t="e">
        <f>VLOOKUP(C719,Stock_list!D:L,9,FALSE)</f>
        <v>#N/A</v>
      </c>
      <c r="F719" s="170" t="s">
        <v>227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266</v>
      </c>
      <c r="B720" s="114" t="str">
        <f>VLOOKUP(A720,'Data pick slip'!B:F,5,FALSE)</f>
        <v>KHJ-MC500-00</v>
      </c>
      <c r="C720" s="169">
        <v>110664</v>
      </c>
      <c r="D720" s="169" t="e">
        <f>VLOOKUP(C720,Stock_list!D:L,2,FALSE)</f>
        <v>#N/A</v>
      </c>
      <c r="E720" s="282" t="e">
        <f>VLOOKUP(C720,Stock_list!D:L,9,FALSE)</f>
        <v>#N/A</v>
      </c>
      <c r="F720" s="170" t="s">
        <v>227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267</v>
      </c>
      <c r="B721" s="114" t="str">
        <f>VLOOKUP(A721,'Data pick slip'!B:F,5,FALSE)</f>
        <v>KHJ-MC600-00</v>
      </c>
      <c r="C721" s="169">
        <v>110664</v>
      </c>
      <c r="D721" s="169" t="e">
        <f>VLOOKUP(C721,Stock_list!D:L,2,FALSE)</f>
        <v>#N/A</v>
      </c>
      <c r="E721" s="282" t="e">
        <f>VLOOKUP(C721,Stock_list!D:L,9,FALSE)</f>
        <v>#N/A</v>
      </c>
      <c r="F721" s="170" t="s">
        <v>227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268</v>
      </c>
      <c r="B722" s="114" t="str">
        <f>VLOOKUP(A722,'Data pick slip'!B:F,5,FALSE)</f>
        <v>KHJ-MC700-00</v>
      </c>
      <c r="C722" s="169">
        <v>110664</v>
      </c>
      <c r="D722" s="169" t="e">
        <f>VLOOKUP(C722,Stock_list!D:L,2,FALSE)</f>
        <v>#N/A</v>
      </c>
      <c r="E722" s="282" t="e">
        <f>VLOOKUP(C722,Stock_list!D:L,9,FALSE)</f>
        <v>#N/A</v>
      </c>
      <c r="F722" s="170" t="s">
        <v>227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285</v>
      </c>
      <c r="B723" s="114" t="str">
        <f>VLOOKUP(A723,'Data pick slip'!B:F,5,FALSE)</f>
        <v>KHJ-MC100-00</v>
      </c>
      <c r="C723" s="169">
        <v>110708</v>
      </c>
      <c r="D723" s="169" t="e">
        <f>VLOOKUP(C723,Stock_list!D:L,2,FALSE)</f>
        <v>#N/A</v>
      </c>
      <c r="E723" s="282" t="e">
        <f>VLOOKUP(C723,Stock_list!D:L,9,FALSE)</f>
        <v>#N/A</v>
      </c>
      <c r="F723" s="170" t="s">
        <v>227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264</v>
      </c>
      <c r="B724" s="114" t="str">
        <f>VLOOKUP(A724,'Data pick slip'!B:F,5,FALSE)</f>
        <v>KHJ-MC200-00</v>
      </c>
      <c r="C724" s="169">
        <v>110708</v>
      </c>
      <c r="D724" s="169" t="e">
        <f>VLOOKUP(C724,Stock_list!D:L,2,FALSE)</f>
        <v>#N/A</v>
      </c>
      <c r="E724" s="282" t="e">
        <f>VLOOKUP(C724,Stock_list!D:L,9,FALSE)</f>
        <v>#N/A</v>
      </c>
      <c r="F724" s="170" t="s">
        <v>227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265</v>
      </c>
      <c r="B725" s="114" t="str">
        <f>VLOOKUP(A725,'Data pick slip'!B:F,5,FALSE)</f>
        <v>KHJ-MC400-00</v>
      </c>
      <c r="C725" s="169">
        <v>110708</v>
      </c>
      <c r="D725" s="169" t="e">
        <f>VLOOKUP(C725,Stock_list!D:L,2,FALSE)</f>
        <v>#N/A</v>
      </c>
      <c r="E725" s="282" t="e">
        <f>VLOOKUP(C725,Stock_list!D:L,9,FALSE)</f>
        <v>#N/A</v>
      </c>
      <c r="F725" s="170" t="s">
        <v>227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266</v>
      </c>
      <c r="B726" s="114" t="str">
        <f>VLOOKUP(A726,'Data pick slip'!B:F,5,FALSE)</f>
        <v>KHJ-MC500-00</v>
      </c>
      <c r="C726" s="169">
        <v>110708</v>
      </c>
      <c r="D726" s="169" t="e">
        <f>VLOOKUP(C726,Stock_list!D:L,2,FALSE)</f>
        <v>#N/A</v>
      </c>
      <c r="E726" s="282" t="e">
        <f>VLOOKUP(C726,Stock_list!D:L,9,FALSE)</f>
        <v>#N/A</v>
      </c>
      <c r="F726" s="170" t="s">
        <v>227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285</v>
      </c>
      <c r="B727" s="114" t="str">
        <f>VLOOKUP(A727,'Data pick slip'!B:F,5,FALSE)</f>
        <v>KHJ-MC100-00</v>
      </c>
      <c r="C727" s="169">
        <v>110670</v>
      </c>
      <c r="D727" s="169" t="e">
        <f>VLOOKUP(C727,Stock_list!D:L,2,FALSE)</f>
        <v>#N/A</v>
      </c>
      <c r="E727" s="282" t="e">
        <f>VLOOKUP(C727,Stock_list!D:L,9,FALSE)</f>
        <v>#N/A</v>
      </c>
      <c r="F727" s="170" t="s">
        <v>227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266</v>
      </c>
      <c r="B728" s="114" t="str">
        <f>VLOOKUP(A728,'Data pick slip'!B:F,5,FALSE)</f>
        <v>KHJ-MC500-00</v>
      </c>
      <c r="C728" s="169">
        <v>110670</v>
      </c>
      <c r="D728" s="169" t="e">
        <f>VLOOKUP(C728,Stock_list!D:L,2,FALSE)</f>
        <v>#N/A</v>
      </c>
      <c r="E728" s="282" t="e">
        <f>VLOOKUP(C728,Stock_list!D:L,9,FALSE)</f>
        <v>#N/A</v>
      </c>
      <c r="F728" s="170" t="s">
        <v>227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261</v>
      </c>
      <c r="B729" s="114" t="str">
        <f>VLOOKUP(A729,'Data pick slip'!B:F,5,FALSE)</f>
        <v>KHJ-MC100-00</v>
      </c>
      <c r="C729" s="169"/>
      <c r="D729" s="169"/>
      <c r="E729" s="282" t="s">
        <v>487</v>
      </c>
      <c r="F729" s="170" t="s">
        <v>270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264</v>
      </c>
      <c r="B730" s="114" t="str">
        <f>VLOOKUP(A730,'Data pick slip'!B:F,5,FALSE)</f>
        <v>KHJ-MC200-00</v>
      </c>
      <c r="C730" s="169"/>
      <c r="D730" s="169"/>
      <c r="E730" s="282" t="s">
        <v>487</v>
      </c>
      <c r="F730" s="170" t="s">
        <v>270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265</v>
      </c>
      <c r="B731" s="114" t="str">
        <f>VLOOKUP(A731,'Data pick slip'!B:F,5,FALSE)</f>
        <v>KHJ-MC400-00</v>
      </c>
      <c r="C731" s="169"/>
      <c r="D731" s="169"/>
      <c r="E731" s="282" t="s">
        <v>487</v>
      </c>
      <c r="F731" s="170" t="s">
        <v>270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266</v>
      </c>
      <c r="B732" s="114" t="str">
        <f>VLOOKUP(A732,'Data pick slip'!B:F,5,FALSE)</f>
        <v>KHJ-MC500-00</v>
      </c>
      <c r="C732" s="169"/>
      <c r="D732" s="169"/>
      <c r="E732" s="282" t="s">
        <v>487</v>
      </c>
      <c r="F732" s="170" t="s">
        <v>270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267</v>
      </c>
      <c r="B733" s="114" t="str">
        <f>VLOOKUP(A733,'Data pick slip'!B:F,5,FALSE)</f>
        <v>KHJ-MC600-00</v>
      </c>
      <c r="C733" s="169"/>
      <c r="D733" s="169"/>
      <c r="E733" s="282" t="s">
        <v>487</v>
      </c>
      <c r="F733" s="170" t="s">
        <v>270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268</v>
      </c>
      <c r="B734" s="114" t="str">
        <f>VLOOKUP(A734,'Data pick slip'!B:F,5,FALSE)</f>
        <v>KHJ-MC700-00</v>
      </c>
      <c r="C734" s="169"/>
      <c r="D734" s="169"/>
      <c r="E734" s="282" t="s">
        <v>487</v>
      </c>
      <c r="F734" s="170" t="s">
        <v>270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261</v>
      </c>
      <c r="B735" s="114" t="str">
        <f>VLOOKUP(A735,'Data pick slip'!B:F,5,FALSE)</f>
        <v>KHJ-MC100-00</v>
      </c>
      <c r="C735" s="169">
        <v>110689</v>
      </c>
      <c r="D735" s="169" t="e">
        <f>VLOOKUP(C735,Stock_list!D:L,2,FALSE)</f>
        <v>#N/A</v>
      </c>
      <c r="E735" s="282" t="e">
        <f>VLOOKUP(C735,Stock_list!D:L,9,FALSE)</f>
        <v>#N/A</v>
      </c>
      <c r="F735" s="170" t="s">
        <v>227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264</v>
      </c>
      <c r="B736" s="114" t="str">
        <f>VLOOKUP(A736,'Data pick slip'!B:F,5,FALSE)</f>
        <v>KHJ-MC200-00</v>
      </c>
      <c r="C736" s="169">
        <v>110689</v>
      </c>
      <c r="D736" s="169" t="e">
        <f>VLOOKUP(C736,Stock_list!D:L,2,FALSE)</f>
        <v>#N/A</v>
      </c>
      <c r="E736" s="282" t="e">
        <f>VLOOKUP(C736,Stock_list!D:L,9,FALSE)</f>
        <v>#N/A</v>
      </c>
      <c r="F736" s="170" t="s">
        <v>227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261</v>
      </c>
      <c r="B737" s="114" t="str">
        <f>VLOOKUP(A737,'Data pick slip'!B:F,5,FALSE)</f>
        <v>KHJ-MC100-00</v>
      </c>
      <c r="C737" s="169">
        <v>110690</v>
      </c>
      <c r="D737" s="169" t="e">
        <f>VLOOKUP(C737,Stock_list!D:L,2,FALSE)</f>
        <v>#N/A</v>
      </c>
      <c r="E737" s="282" t="e">
        <f>VLOOKUP(C737,Stock_list!D:L,9,FALSE)</f>
        <v>#N/A</v>
      </c>
      <c r="F737" s="170" t="s">
        <v>227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264</v>
      </c>
      <c r="B738" s="114" t="str">
        <f>VLOOKUP(A738,'Data pick slip'!B:F,5,FALSE)</f>
        <v>KHJ-MC200-00</v>
      </c>
      <c r="C738" s="169">
        <v>110690</v>
      </c>
      <c r="D738" s="169" t="e">
        <f>VLOOKUP(C738,Stock_list!D:L,2,FALSE)</f>
        <v>#N/A</v>
      </c>
      <c r="E738" s="282" t="e">
        <f>VLOOKUP(C738,Stock_list!D:L,9,FALSE)</f>
        <v>#N/A</v>
      </c>
      <c r="F738" s="170" t="s">
        <v>227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261</v>
      </c>
      <c r="B739" s="114" t="str">
        <f>VLOOKUP(A739,'Data pick slip'!B:F,5,FALSE)</f>
        <v>KHJ-MC100-00</v>
      </c>
      <c r="C739" s="169">
        <v>110691</v>
      </c>
      <c r="D739" s="169" t="e">
        <f>VLOOKUP(C739,Stock_list!D:L,2,FALSE)</f>
        <v>#N/A</v>
      </c>
      <c r="E739" s="282" t="e">
        <f>VLOOKUP(C739,Stock_list!D:L,9,FALSE)</f>
        <v>#N/A</v>
      </c>
      <c r="F739" s="170" t="s">
        <v>227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264</v>
      </c>
      <c r="B740" s="114" t="str">
        <f>VLOOKUP(A740,'Data pick slip'!B:F,5,FALSE)</f>
        <v>KHJ-MC200-00</v>
      </c>
      <c r="C740" s="169">
        <v>110691</v>
      </c>
      <c r="D740" s="169" t="e">
        <f>VLOOKUP(C740,Stock_list!D:L,2,FALSE)</f>
        <v>#N/A</v>
      </c>
      <c r="E740" s="282" t="e">
        <f>VLOOKUP(C740,Stock_list!D:L,9,FALSE)</f>
        <v>#N/A</v>
      </c>
      <c r="F740" s="170" t="s">
        <v>227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261</v>
      </c>
      <c r="B741" s="114" t="str">
        <f>VLOOKUP(A741,'Data pick slip'!B:F,5,FALSE)</f>
        <v>KHJ-MC100-00</v>
      </c>
      <c r="C741" s="169">
        <v>110692</v>
      </c>
      <c r="D741" s="169" t="e">
        <f>VLOOKUP(C741,Stock_list!D:L,2,FALSE)</f>
        <v>#N/A</v>
      </c>
      <c r="E741" s="282" t="e">
        <f>VLOOKUP(C741,Stock_list!D:L,9,FALSE)</f>
        <v>#N/A</v>
      </c>
      <c r="F741" s="170" t="s">
        <v>227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261</v>
      </c>
      <c r="B742" s="114" t="str">
        <f>VLOOKUP(A742,'Data pick slip'!B:F,5,FALSE)</f>
        <v>KHJ-MC100-00</v>
      </c>
      <c r="C742" s="169">
        <v>110693</v>
      </c>
      <c r="D742" s="169" t="e">
        <f>VLOOKUP(C742,Stock_list!D:L,2,FALSE)</f>
        <v>#N/A</v>
      </c>
      <c r="E742" s="282" t="e">
        <f>VLOOKUP(C742,Stock_list!D:L,9,FALSE)</f>
        <v>#N/A</v>
      </c>
      <c r="F742" s="170" t="s">
        <v>227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264</v>
      </c>
      <c r="B743" s="114" t="str">
        <f>VLOOKUP(A743,'Data pick slip'!B:F,5,FALSE)</f>
        <v>KHJ-MC200-00</v>
      </c>
      <c r="C743" s="169">
        <v>110693</v>
      </c>
      <c r="D743" s="169" t="e">
        <f>VLOOKUP(C743,Stock_list!D:L,2,FALSE)</f>
        <v>#N/A</v>
      </c>
      <c r="E743" s="282" t="e">
        <f>VLOOKUP(C743,Stock_list!D:L,9,FALSE)</f>
        <v>#N/A</v>
      </c>
      <c r="F743" s="170" t="s">
        <v>227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265</v>
      </c>
      <c r="B744" s="114" t="str">
        <f>VLOOKUP(A744,'Data pick slip'!B:F,5,FALSE)</f>
        <v>KHJ-MC400-00</v>
      </c>
      <c r="C744" s="169">
        <v>110693</v>
      </c>
      <c r="D744" s="169" t="e">
        <f>VLOOKUP(C744,Stock_list!D:L,2,FALSE)</f>
        <v>#N/A</v>
      </c>
      <c r="E744" s="282" t="e">
        <f>VLOOKUP(C744,Stock_list!D:L,9,FALSE)</f>
        <v>#N/A</v>
      </c>
      <c r="F744" s="170" t="s">
        <v>227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266</v>
      </c>
      <c r="B745" s="114" t="str">
        <f>VLOOKUP(A745,'Data pick slip'!B:F,5,FALSE)</f>
        <v>KHJ-MC500-00</v>
      </c>
      <c r="C745" s="169">
        <v>110693</v>
      </c>
      <c r="D745" s="169" t="e">
        <f>VLOOKUP(C745,Stock_list!D:L,2,FALSE)</f>
        <v>#N/A</v>
      </c>
      <c r="E745" s="282" t="e">
        <f>VLOOKUP(C745,Stock_list!D:L,9,FALSE)</f>
        <v>#N/A</v>
      </c>
      <c r="F745" s="170" t="s">
        <v>227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261</v>
      </c>
      <c r="B746" s="114" t="str">
        <f>VLOOKUP(A746,'Data pick slip'!B:F,5,FALSE)</f>
        <v>KHJ-MC100-00</v>
      </c>
      <c r="C746" s="169">
        <v>110694</v>
      </c>
      <c r="D746" s="169" t="e">
        <f>VLOOKUP(C746,Stock_list!D:L,2,FALSE)</f>
        <v>#N/A</v>
      </c>
      <c r="E746" s="282" t="e">
        <f>VLOOKUP(C746,Stock_list!D:L,9,FALSE)</f>
        <v>#N/A</v>
      </c>
      <c r="F746" s="170" t="s">
        <v>227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264</v>
      </c>
      <c r="B747" s="114" t="str">
        <f>VLOOKUP(A747,'Data pick slip'!B:F,5,FALSE)</f>
        <v>KHJ-MC200-00</v>
      </c>
      <c r="C747" s="169">
        <v>110694</v>
      </c>
      <c r="D747" s="169" t="e">
        <f>VLOOKUP(C747,Stock_list!D:L,2,FALSE)</f>
        <v>#N/A</v>
      </c>
      <c r="E747" s="282" t="e">
        <f>VLOOKUP(C747,Stock_list!D:L,9,FALSE)</f>
        <v>#N/A</v>
      </c>
      <c r="F747" s="170" t="s">
        <v>227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265</v>
      </c>
      <c r="B748" s="114" t="str">
        <f>VLOOKUP(A748,'Data pick slip'!B:F,5,FALSE)</f>
        <v>KHJ-MC400-00</v>
      </c>
      <c r="C748" s="169">
        <v>110694</v>
      </c>
      <c r="D748" s="169" t="e">
        <f>VLOOKUP(C748,Stock_list!D:L,2,FALSE)</f>
        <v>#N/A</v>
      </c>
      <c r="E748" s="282" t="e">
        <f>VLOOKUP(C748,Stock_list!D:L,9,FALSE)</f>
        <v>#N/A</v>
      </c>
      <c r="F748" s="170" t="s">
        <v>227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266</v>
      </c>
      <c r="B749" s="114" t="str">
        <f>VLOOKUP(A749,'Data pick slip'!B:F,5,FALSE)</f>
        <v>KHJ-MC500-00</v>
      </c>
      <c r="C749" s="169">
        <v>110694</v>
      </c>
      <c r="D749" s="169" t="e">
        <f>VLOOKUP(C749,Stock_list!D:L,2,FALSE)</f>
        <v>#N/A</v>
      </c>
      <c r="E749" s="282" t="e">
        <f>VLOOKUP(C749,Stock_list!D:L,9,FALSE)</f>
        <v>#N/A</v>
      </c>
      <c r="F749" s="170" t="s">
        <v>227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261</v>
      </c>
      <c r="B750" s="114" t="str">
        <f>VLOOKUP(A750,'Data pick slip'!B:F,5,FALSE)</f>
        <v>KHJ-MC100-00</v>
      </c>
      <c r="C750" s="169">
        <v>110695</v>
      </c>
      <c r="D750" s="169" t="e">
        <f>VLOOKUP(C750,Stock_list!D:L,2,FALSE)</f>
        <v>#N/A</v>
      </c>
      <c r="E750" s="282" t="e">
        <f>VLOOKUP(C750,Stock_list!D:L,9,FALSE)</f>
        <v>#N/A</v>
      </c>
      <c r="F750" s="170" t="s">
        <v>227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264</v>
      </c>
      <c r="B751" s="114" t="str">
        <f>VLOOKUP(A751,'Data pick slip'!B:F,5,FALSE)</f>
        <v>KHJ-MC200-00</v>
      </c>
      <c r="C751" s="169">
        <v>110695</v>
      </c>
      <c r="D751" s="169" t="e">
        <f>VLOOKUP(C751,Stock_list!D:L,2,FALSE)</f>
        <v>#N/A</v>
      </c>
      <c r="E751" s="282" t="e">
        <f>VLOOKUP(C751,Stock_list!D:L,9,FALSE)</f>
        <v>#N/A</v>
      </c>
      <c r="F751" s="170" t="s">
        <v>227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265</v>
      </c>
      <c r="B752" s="114" t="str">
        <f>VLOOKUP(A752,'Data pick slip'!B:F,5,FALSE)</f>
        <v>KHJ-MC400-00</v>
      </c>
      <c r="C752" s="169">
        <v>110695</v>
      </c>
      <c r="D752" s="169" t="e">
        <f>VLOOKUP(C752,Stock_list!D:L,2,FALSE)</f>
        <v>#N/A</v>
      </c>
      <c r="E752" s="282" t="e">
        <f>VLOOKUP(C752,Stock_list!D:L,9,FALSE)</f>
        <v>#N/A</v>
      </c>
      <c r="F752" s="170" t="s">
        <v>227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266</v>
      </c>
      <c r="B753" s="114" t="str">
        <f>VLOOKUP(A753,'Data pick slip'!B:F,5,FALSE)</f>
        <v>KHJ-MC500-00</v>
      </c>
      <c r="C753" s="169">
        <v>110695</v>
      </c>
      <c r="D753" s="169" t="e">
        <f>VLOOKUP(C753,Stock_list!D:L,2,FALSE)</f>
        <v>#N/A</v>
      </c>
      <c r="E753" s="282" t="e">
        <f>VLOOKUP(C753,Stock_list!D:L,9,FALSE)</f>
        <v>#N/A</v>
      </c>
      <c r="F753" s="170" t="s">
        <v>227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267</v>
      </c>
      <c r="B754" s="114" t="str">
        <f>VLOOKUP(A754,'Data pick slip'!B:F,5,FALSE)</f>
        <v>KHJ-MC600-00</v>
      </c>
      <c r="C754" s="169">
        <v>110695</v>
      </c>
      <c r="D754" s="169" t="e">
        <f>VLOOKUP(C754,Stock_list!D:L,2,FALSE)</f>
        <v>#N/A</v>
      </c>
      <c r="E754" s="282" t="e">
        <f>VLOOKUP(C754,Stock_list!D:L,9,FALSE)</f>
        <v>#N/A</v>
      </c>
      <c r="F754" s="170" t="s">
        <v>227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268</v>
      </c>
      <c r="B755" s="114" t="str">
        <f>VLOOKUP(A755,'Data pick slip'!B:F,5,FALSE)</f>
        <v>KHJ-MC700-00</v>
      </c>
      <c r="C755" s="169">
        <v>110695</v>
      </c>
      <c r="D755" s="169" t="e">
        <f>VLOOKUP(C755,Stock_list!D:L,2,FALSE)</f>
        <v>#N/A</v>
      </c>
      <c r="E755" s="282" t="e">
        <f>VLOOKUP(C755,Stock_list!D:L,9,FALSE)</f>
        <v>#N/A</v>
      </c>
      <c r="F755" s="170" t="s">
        <v>227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261</v>
      </c>
      <c r="B756" s="114" t="str">
        <f>VLOOKUP(A756,'Data pick slip'!B:F,5,FALSE)</f>
        <v>KHJ-MC100-00</v>
      </c>
      <c r="C756" s="169">
        <v>110696</v>
      </c>
      <c r="D756" s="169" t="e">
        <f>VLOOKUP(C756,Stock_list!D:L,2,FALSE)</f>
        <v>#N/A</v>
      </c>
      <c r="E756" s="282" t="e">
        <f>VLOOKUP(C756,Stock_list!D:L,9,FALSE)</f>
        <v>#N/A</v>
      </c>
      <c r="F756" s="170" t="s">
        <v>227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264</v>
      </c>
      <c r="B757" s="114" t="str">
        <f>VLOOKUP(A757,'Data pick slip'!B:F,5,FALSE)</f>
        <v>KHJ-MC200-00</v>
      </c>
      <c r="C757" s="169">
        <v>110696</v>
      </c>
      <c r="D757" s="169" t="e">
        <f>VLOOKUP(C757,Stock_list!D:L,2,FALSE)</f>
        <v>#N/A</v>
      </c>
      <c r="E757" s="282" t="e">
        <f>VLOOKUP(C757,Stock_list!D:L,9,FALSE)</f>
        <v>#N/A</v>
      </c>
      <c r="F757" s="170" t="s">
        <v>227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265</v>
      </c>
      <c r="B758" s="114" t="str">
        <f>VLOOKUP(A758,'Data pick slip'!B:F,5,FALSE)</f>
        <v>KHJ-MC400-00</v>
      </c>
      <c r="C758" s="169">
        <v>110696</v>
      </c>
      <c r="D758" s="169" t="e">
        <f>VLOOKUP(C758,Stock_list!D:L,2,FALSE)</f>
        <v>#N/A</v>
      </c>
      <c r="E758" s="282" t="e">
        <f>VLOOKUP(C758,Stock_list!D:L,9,FALSE)</f>
        <v>#N/A</v>
      </c>
      <c r="F758" s="170" t="s">
        <v>227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266</v>
      </c>
      <c r="B759" s="114" t="str">
        <f>VLOOKUP(A759,'Data pick slip'!B:F,5,FALSE)</f>
        <v>KHJ-MC500-00</v>
      </c>
      <c r="C759" s="169">
        <v>110696</v>
      </c>
      <c r="D759" s="169" t="e">
        <f>VLOOKUP(C759,Stock_list!D:L,2,FALSE)</f>
        <v>#N/A</v>
      </c>
      <c r="E759" s="282" t="e">
        <f>VLOOKUP(C759,Stock_list!D:L,9,FALSE)</f>
        <v>#N/A</v>
      </c>
      <c r="F759" s="170" t="s">
        <v>227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267</v>
      </c>
      <c r="B760" s="114" t="str">
        <f>VLOOKUP(A760,'Data pick slip'!B:F,5,FALSE)</f>
        <v>KHJ-MC600-00</v>
      </c>
      <c r="C760" s="169">
        <v>110696</v>
      </c>
      <c r="D760" s="169" t="e">
        <f>VLOOKUP(C760,Stock_list!D:L,2,FALSE)</f>
        <v>#N/A</v>
      </c>
      <c r="E760" s="282" t="e">
        <f>VLOOKUP(C760,Stock_list!D:L,9,FALSE)</f>
        <v>#N/A</v>
      </c>
      <c r="F760" s="170" t="s">
        <v>227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268</v>
      </c>
      <c r="B761" s="114" t="str">
        <f>VLOOKUP(A761,'Data pick slip'!B:F,5,FALSE)</f>
        <v>KHJ-MC700-00</v>
      </c>
      <c r="C761" s="169">
        <v>110696</v>
      </c>
      <c r="D761" s="169" t="e">
        <f>VLOOKUP(C761,Stock_list!D:L,2,FALSE)</f>
        <v>#N/A</v>
      </c>
      <c r="E761" s="282" t="e">
        <f>VLOOKUP(C761,Stock_list!D:L,9,FALSE)</f>
        <v>#N/A</v>
      </c>
      <c r="F761" s="170" t="s">
        <v>227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261</v>
      </c>
      <c r="B762" s="114" t="str">
        <f>VLOOKUP(A762,'Data pick slip'!B:F,5,FALSE)</f>
        <v>KHJ-MC100-00</v>
      </c>
      <c r="C762" s="169">
        <v>110697</v>
      </c>
      <c r="D762" s="169" t="e">
        <f>VLOOKUP(C762,Stock_list!D:L,2,FALSE)</f>
        <v>#N/A</v>
      </c>
      <c r="E762" s="282" t="e">
        <f>VLOOKUP(C762,Stock_list!D:L,9,FALSE)</f>
        <v>#N/A</v>
      </c>
      <c r="F762" s="170" t="s">
        <v>227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264</v>
      </c>
      <c r="B763" s="114" t="str">
        <f>VLOOKUP(A763,'Data pick slip'!B:F,5,FALSE)</f>
        <v>KHJ-MC200-00</v>
      </c>
      <c r="C763" s="169">
        <v>110697</v>
      </c>
      <c r="D763" s="169" t="e">
        <f>VLOOKUP(C763,Stock_list!D:L,2,FALSE)</f>
        <v>#N/A</v>
      </c>
      <c r="E763" s="282" t="e">
        <f>VLOOKUP(C763,Stock_list!D:L,9,FALSE)</f>
        <v>#N/A</v>
      </c>
      <c r="F763" s="170" t="s">
        <v>227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265</v>
      </c>
      <c r="B764" s="114" t="str">
        <f>VLOOKUP(A764,'Data pick slip'!B:F,5,FALSE)</f>
        <v>KHJ-MC400-00</v>
      </c>
      <c r="C764" s="169">
        <v>110697</v>
      </c>
      <c r="D764" s="169" t="e">
        <f>VLOOKUP(C764,Stock_list!D:L,2,FALSE)</f>
        <v>#N/A</v>
      </c>
      <c r="E764" s="282" t="e">
        <f>VLOOKUP(C764,Stock_list!D:L,9,FALSE)</f>
        <v>#N/A</v>
      </c>
      <c r="F764" s="170" t="s">
        <v>227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266</v>
      </c>
      <c r="B765" s="114" t="str">
        <f>VLOOKUP(A765,'Data pick slip'!B:F,5,FALSE)</f>
        <v>KHJ-MC500-00</v>
      </c>
      <c r="C765" s="169">
        <v>110697</v>
      </c>
      <c r="D765" s="169" t="e">
        <f>VLOOKUP(C765,Stock_list!D:L,2,FALSE)</f>
        <v>#N/A</v>
      </c>
      <c r="E765" s="282" t="e">
        <f>VLOOKUP(C765,Stock_list!D:L,9,FALSE)</f>
        <v>#N/A</v>
      </c>
      <c r="F765" s="170" t="s">
        <v>227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267</v>
      </c>
      <c r="B766" s="114" t="str">
        <f>VLOOKUP(A766,'Data pick slip'!B:F,5,FALSE)</f>
        <v>KHJ-MC600-00</v>
      </c>
      <c r="C766" s="169">
        <v>110697</v>
      </c>
      <c r="D766" s="169" t="e">
        <f>VLOOKUP(C766,Stock_list!D:L,2,FALSE)</f>
        <v>#N/A</v>
      </c>
      <c r="E766" s="282" t="e">
        <f>VLOOKUP(C766,Stock_list!D:L,9,FALSE)</f>
        <v>#N/A</v>
      </c>
      <c r="F766" s="170" t="s">
        <v>227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261</v>
      </c>
      <c r="B767" s="114" t="str">
        <f>VLOOKUP(A767,'Data pick slip'!B:F,5,FALSE)</f>
        <v>KHJ-MC100-00</v>
      </c>
      <c r="C767" s="169">
        <v>110698</v>
      </c>
      <c r="D767" s="169" t="e">
        <f>VLOOKUP(C767,Stock_list!D:L,2,FALSE)</f>
        <v>#N/A</v>
      </c>
      <c r="E767" s="282" t="e">
        <f>VLOOKUP(C767,Stock_list!D:L,9,FALSE)</f>
        <v>#N/A</v>
      </c>
      <c r="F767" s="170" t="s">
        <v>227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264</v>
      </c>
      <c r="B768" s="114" t="str">
        <f>VLOOKUP(A768,'Data pick slip'!B:F,5,FALSE)</f>
        <v>KHJ-MC200-00</v>
      </c>
      <c r="C768" s="169">
        <v>110698</v>
      </c>
      <c r="D768" s="169" t="e">
        <f>VLOOKUP(C768,Stock_list!D:L,2,FALSE)</f>
        <v>#N/A</v>
      </c>
      <c r="E768" s="282" t="e">
        <f>VLOOKUP(C768,Stock_list!D:L,9,FALSE)</f>
        <v>#N/A</v>
      </c>
      <c r="F768" s="170" t="s">
        <v>227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265</v>
      </c>
      <c r="B769" s="114" t="str">
        <f>VLOOKUP(A769,'Data pick slip'!B:F,5,FALSE)</f>
        <v>KHJ-MC400-00</v>
      </c>
      <c r="C769" s="169">
        <v>110698</v>
      </c>
      <c r="D769" s="169" t="e">
        <f>VLOOKUP(C769,Stock_list!D:L,2,FALSE)</f>
        <v>#N/A</v>
      </c>
      <c r="E769" s="282" t="e">
        <f>VLOOKUP(C769,Stock_list!D:L,9,FALSE)</f>
        <v>#N/A</v>
      </c>
      <c r="F769" s="170" t="s">
        <v>227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267</v>
      </c>
      <c r="B770" s="114" t="str">
        <f>VLOOKUP(A770,'Data pick slip'!B:F,5,FALSE)</f>
        <v>KHJ-MC600-00</v>
      </c>
      <c r="C770" s="169">
        <v>110698</v>
      </c>
      <c r="D770" s="169" t="e">
        <f>VLOOKUP(C770,Stock_list!D:L,2,FALSE)</f>
        <v>#N/A</v>
      </c>
      <c r="E770" s="282" t="e">
        <f>VLOOKUP(C770,Stock_list!D:L,9,FALSE)</f>
        <v>#N/A</v>
      </c>
      <c r="F770" s="170" t="s">
        <v>227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261</v>
      </c>
      <c r="B771" s="114" t="str">
        <f>VLOOKUP(A771,'Data pick slip'!B:F,5,FALSE)</f>
        <v>KHJ-MC100-00</v>
      </c>
      <c r="C771" s="169"/>
      <c r="D771" s="169"/>
      <c r="E771" s="282" t="s">
        <v>488</v>
      </c>
      <c r="F771" s="170" t="s">
        <v>270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265</v>
      </c>
      <c r="B772" s="114" t="str">
        <f>VLOOKUP(A772,'Data pick slip'!B:F,5,FALSE)</f>
        <v>KHJ-MC400-00</v>
      </c>
      <c r="C772" s="169"/>
      <c r="D772" s="169"/>
      <c r="E772" s="282" t="s">
        <v>488</v>
      </c>
      <c r="F772" s="170" t="s">
        <v>270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266</v>
      </c>
      <c r="B773" s="114" t="str">
        <f>VLOOKUP(A773,'Data pick slip'!B:F,5,FALSE)</f>
        <v>KHJ-MC500-00</v>
      </c>
      <c r="C773" s="169"/>
      <c r="D773" s="169"/>
      <c r="E773" s="282" t="s">
        <v>488</v>
      </c>
      <c r="F773" s="170" t="s">
        <v>270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267</v>
      </c>
      <c r="B774" s="114" t="str">
        <f>VLOOKUP(A774,'Data pick slip'!B:F,5,FALSE)</f>
        <v>KHJ-MC600-00</v>
      </c>
      <c r="C774" s="169"/>
      <c r="D774" s="169"/>
      <c r="E774" s="282" t="s">
        <v>488</v>
      </c>
      <c r="F774" s="170" t="s">
        <v>270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268</v>
      </c>
      <c r="B775" s="114" t="str">
        <f>VLOOKUP(A775,'Data pick slip'!B:F,5,FALSE)</f>
        <v>KHJ-MC700-00</v>
      </c>
      <c r="C775" s="169"/>
      <c r="D775" s="169"/>
      <c r="E775" s="282" t="s">
        <v>488</v>
      </c>
      <c r="F775" s="170" t="s">
        <v>270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269</v>
      </c>
      <c r="B776" s="114" t="str">
        <f>VLOOKUP(A776,'Data pick slip'!B:F,5,FALSE)</f>
        <v>KHJ-MC800-00</v>
      </c>
      <c r="C776" s="169"/>
      <c r="D776" s="169"/>
      <c r="E776" s="282" t="s">
        <v>488</v>
      </c>
      <c r="F776" s="170" t="s">
        <v>270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261</v>
      </c>
      <c r="B777" s="114" t="str">
        <f>VLOOKUP(A777,'Data pick slip'!B:F,5,FALSE)</f>
        <v>KHJ-MC100-00</v>
      </c>
      <c r="C777" s="169">
        <v>110726</v>
      </c>
      <c r="D777" s="169" t="e">
        <f>VLOOKUP(C777,Stock_list!D:L,2,FALSE)</f>
        <v>#N/A</v>
      </c>
      <c r="E777" s="282" t="e">
        <f>VLOOKUP(C777,Stock_list!D:L,9,FALSE)</f>
        <v>#N/A</v>
      </c>
      <c r="F777" s="170" t="s">
        <v>227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264</v>
      </c>
      <c r="B778" s="114" t="str">
        <f>VLOOKUP(A778,'Data pick slip'!B:F,5,FALSE)</f>
        <v>KHJ-MC200-00</v>
      </c>
      <c r="C778" s="169">
        <v>110726</v>
      </c>
      <c r="D778" s="169" t="e">
        <f>VLOOKUP(C778,Stock_list!D:L,2,FALSE)</f>
        <v>#N/A</v>
      </c>
      <c r="E778" s="282" t="e">
        <f>VLOOKUP(C778,Stock_list!D:L,9,FALSE)</f>
        <v>#N/A</v>
      </c>
      <c r="F778" s="170" t="s">
        <v>227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265</v>
      </c>
      <c r="B779" s="114" t="str">
        <f>VLOOKUP(A779,'Data pick slip'!B:F,5,FALSE)</f>
        <v>KHJ-MC400-00</v>
      </c>
      <c r="C779" s="169">
        <v>110726</v>
      </c>
      <c r="D779" s="169" t="e">
        <f>VLOOKUP(C779,Stock_list!D:L,2,FALSE)</f>
        <v>#N/A</v>
      </c>
      <c r="E779" s="282" t="e">
        <f>VLOOKUP(C779,Stock_list!D:L,9,FALSE)</f>
        <v>#N/A</v>
      </c>
      <c r="F779" s="170" t="s">
        <v>227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261</v>
      </c>
      <c r="B780" s="114" t="str">
        <f>VLOOKUP(A780,'Data pick slip'!B:F,5,FALSE)</f>
        <v>KHJ-MC100-00</v>
      </c>
      <c r="C780" s="169">
        <v>110727</v>
      </c>
      <c r="D780" s="169" t="e">
        <f>VLOOKUP(C780,Stock_list!D:L,2,FALSE)</f>
        <v>#N/A</v>
      </c>
      <c r="E780" s="282" t="e">
        <f>VLOOKUP(C780,Stock_list!D:L,9,FALSE)</f>
        <v>#N/A</v>
      </c>
      <c r="F780" s="170" t="s">
        <v>227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264</v>
      </c>
      <c r="B781" s="114" t="str">
        <f>VLOOKUP(A781,'Data pick slip'!B:F,5,FALSE)</f>
        <v>KHJ-MC200-00</v>
      </c>
      <c r="C781" s="169">
        <v>110727</v>
      </c>
      <c r="D781" s="169" t="e">
        <f>VLOOKUP(C781,Stock_list!D:L,2,FALSE)</f>
        <v>#N/A</v>
      </c>
      <c r="E781" s="282" t="e">
        <f>VLOOKUP(C781,Stock_list!D:L,9,FALSE)</f>
        <v>#N/A</v>
      </c>
      <c r="F781" s="170" t="s">
        <v>227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265</v>
      </c>
      <c r="B782" s="114" t="str">
        <f>VLOOKUP(A782,'Data pick slip'!B:F,5,FALSE)</f>
        <v>KHJ-MC400-00</v>
      </c>
      <c r="C782" s="169">
        <v>110727</v>
      </c>
      <c r="D782" s="169" t="e">
        <f>VLOOKUP(C782,Stock_list!D:L,2,FALSE)</f>
        <v>#N/A</v>
      </c>
      <c r="E782" s="282" t="e">
        <f>VLOOKUP(C782,Stock_list!D:L,9,FALSE)</f>
        <v>#N/A</v>
      </c>
      <c r="F782" s="170" t="s">
        <v>227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267</v>
      </c>
      <c r="B783" s="114" t="str">
        <f>VLOOKUP(A783,'Data pick slip'!B:F,5,FALSE)</f>
        <v>KHJ-MC600-00</v>
      </c>
      <c r="C783" s="169">
        <v>110727</v>
      </c>
      <c r="D783" s="169" t="e">
        <f>VLOOKUP(C783,Stock_list!D:L,2,FALSE)</f>
        <v>#N/A</v>
      </c>
      <c r="E783" s="282" t="e">
        <f>VLOOKUP(C783,Stock_list!D:L,9,FALSE)</f>
        <v>#N/A</v>
      </c>
      <c r="F783" s="170" t="s">
        <v>227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268</v>
      </c>
      <c r="B784" s="114" t="str">
        <f>VLOOKUP(A784,'Data pick slip'!B:F,5,FALSE)</f>
        <v>KHJ-MC700-00</v>
      </c>
      <c r="C784" s="169">
        <v>110727</v>
      </c>
      <c r="D784" s="169" t="e">
        <f>VLOOKUP(C784,Stock_list!D:L,2,FALSE)</f>
        <v>#N/A</v>
      </c>
      <c r="E784" s="282" t="e">
        <f>VLOOKUP(C784,Stock_list!D:L,9,FALSE)</f>
        <v>#N/A</v>
      </c>
      <c r="F784" s="170" t="s">
        <v>227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261</v>
      </c>
      <c r="B785" s="114" t="str">
        <f>VLOOKUP(A785,'Data pick slip'!B:F,5,FALSE)</f>
        <v>KHJ-MC100-00</v>
      </c>
      <c r="C785" s="169">
        <v>110728</v>
      </c>
      <c r="D785" s="169" t="e">
        <f>VLOOKUP(C785,Stock_list!D:L,2,FALSE)</f>
        <v>#N/A</v>
      </c>
      <c r="E785" s="282" t="e">
        <f>VLOOKUP(C785,Stock_list!D:L,9,FALSE)</f>
        <v>#N/A</v>
      </c>
      <c r="F785" s="170" t="s">
        <v>227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264</v>
      </c>
      <c r="B786" s="114" t="str">
        <f>VLOOKUP(A786,'Data pick slip'!B:F,5,FALSE)</f>
        <v>KHJ-MC200-00</v>
      </c>
      <c r="C786" s="169">
        <v>110728</v>
      </c>
      <c r="D786" s="169" t="e">
        <f>VLOOKUP(C786,Stock_list!D:L,2,FALSE)</f>
        <v>#N/A</v>
      </c>
      <c r="E786" s="282" t="e">
        <f>VLOOKUP(C786,Stock_list!D:L,9,FALSE)</f>
        <v>#N/A</v>
      </c>
      <c r="F786" s="170" t="s">
        <v>227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265</v>
      </c>
      <c r="B787" s="114" t="str">
        <f>VLOOKUP(A787,'Data pick slip'!B:F,5,FALSE)</f>
        <v>KHJ-MC400-00</v>
      </c>
      <c r="C787" s="169">
        <v>110728</v>
      </c>
      <c r="D787" s="169" t="e">
        <f>VLOOKUP(C787,Stock_list!D:L,2,FALSE)</f>
        <v>#N/A</v>
      </c>
      <c r="E787" s="282" t="e">
        <f>VLOOKUP(C787,Stock_list!D:L,9,FALSE)</f>
        <v>#N/A</v>
      </c>
      <c r="F787" s="170" t="s">
        <v>227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266</v>
      </c>
      <c r="B788" s="114" t="str">
        <f>VLOOKUP(A788,'Data pick slip'!B:F,5,FALSE)</f>
        <v>KHJ-MC500-00</v>
      </c>
      <c r="C788" s="169">
        <v>110728</v>
      </c>
      <c r="D788" s="169" t="e">
        <f>VLOOKUP(C788,Stock_list!D:L,2,FALSE)</f>
        <v>#N/A</v>
      </c>
      <c r="E788" s="282" t="e">
        <f>VLOOKUP(C788,Stock_list!D:L,9,FALSE)</f>
        <v>#N/A</v>
      </c>
      <c r="F788" s="170" t="s">
        <v>227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261</v>
      </c>
      <c r="B789" s="114" t="str">
        <f>VLOOKUP(A789,'Data pick slip'!B:F,5,FALSE)</f>
        <v>KHJ-MC100-00</v>
      </c>
      <c r="C789" s="169">
        <v>110729</v>
      </c>
      <c r="D789" s="169" t="e">
        <f>VLOOKUP(C789,Stock_list!D:L,2,FALSE)</f>
        <v>#N/A</v>
      </c>
      <c r="E789" s="282" t="e">
        <f>VLOOKUP(C789,Stock_list!D:L,9,FALSE)</f>
        <v>#N/A</v>
      </c>
      <c r="F789" s="170" t="s">
        <v>227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264</v>
      </c>
      <c r="B790" s="114" t="str">
        <f>VLOOKUP(A790,'Data pick slip'!B:F,5,FALSE)</f>
        <v>KHJ-MC200-00</v>
      </c>
      <c r="C790" s="169">
        <v>110729</v>
      </c>
      <c r="D790" s="169" t="e">
        <f>VLOOKUP(C790,Stock_list!D:L,2,FALSE)</f>
        <v>#N/A</v>
      </c>
      <c r="E790" s="282" t="e">
        <f>VLOOKUP(C790,Stock_list!D:L,9,FALSE)</f>
        <v>#N/A</v>
      </c>
      <c r="F790" s="170" t="s">
        <v>227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265</v>
      </c>
      <c r="B791" s="114" t="str">
        <f>VLOOKUP(A791,'Data pick slip'!B:F,5,FALSE)</f>
        <v>KHJ-MC400-00</v>
      </c>
      <c r="C791" s="169">
        <v>110729</v>
      </c>
      <c r="D791" s="169" t="e">
        <f>VLOOKUP(C791,Stock_list!D:L,2,FALSE)</f>
        <v>#N/A</v>
      </c>
      <c r="E791" s="282" t="e">
        <f>VLOOKUP(C791,Stock_list!D:L,9,FALSE)</f>
        <v>#N/A</v>
      </c>
      <c r="F791" s="170" t="s">
        <v>227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266</v>
      </c>
      <c r="B792" s="114" t="str">
        <f>VLOOKUP(A792,'Data pick slip'!B:F,5,FALSE)</f>
        <v>KHJ-MC500-00</v>
      </c>
      <c r="C792" s="169">
        <v>110729</v>
      </c>
      <c r="D792" s="169" t="e">
        <f>VLOOKUP(C792,Stock_list!D:L,2,FALSE)</f>
        <v>#N/A</v>
      </c>
      <c r="E792" s="282" t="e">
        <f>VLOOKUP(C792,Stock_list!D:L,9,FALSE)</f>
        <v>#N/A</v>
      </c>
      <c r="F792" s="170" t="s">
        <v>227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267</v>
      </c>
      <c r="B793" s="114" t="str">
        <f>VLOOKUP(A793,'Data pick slip'!B:F,5,FALSE)</f>
        <v>KHJ-MC600-00</v>
      </c>
      <c r="C793" s="169">
        <v>110729</v>
      </c>
      <c r="D793" s="169" t="e">
        <f>VLOOKUP(C793,Stock_list!D:L,2,FALSE)</f>
        <v>#N/A</v>
      </c>
      <c r="E793" s="282" t="e">
        <f>VLOOKUP(C793,Stock_list!D:L,9,FALSE)</f>
        <v>#N/A</v>
      </c>
      <c r="F793" s="170" t="s">
        <v>227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261</v>
      </c>
      <c r="B794" s="114" t="str">
        <f>VLOOKUP(A794,'Data pick slip'!B:F,5,FALSE)</f>
        <v>KHJ-MC100-00</v>
      </c>
      <c r="C794" s="169">
        <v>110730</v>
      </c>
      <c r="D794" s="169" t="e">
        <f>VLOOKUP(C794,Stock_list!D:L,2,FALSE)</f>
        <v>#N/A</v>
      </c>
      <c r="E794" s="282" t="e">
        <f>VLOOKUP(C794,Stock_list!D:L,9,FALSE)</f>
        <v>#N/A</v>
      </c>
      <c r="F794" s="170" t="s">
        <v>227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264</v>
      </c>
      <c r="B795" s="114" t="str">
        <f>VLOOKUP(A795,'Data pick slip'!B:F,5,FALSE)</f>
        <v>KHJ-MC200-00</v>
      </c>
      <c r="C795" s="169">
        <v>110730</v>
      </c>
      <c r="D795" s="169" t="e">
        <f>VLOOKUP(C795,Stock_list!D:L,2,FALSE)</f>
        <v>#N/A</v>
      </c>
      <c r="E795" s="282" t="e">
        <f>VLOOKUP(C795,Stock_list!D:L,9,FALSE)</f>
        <v>#N/A</v>
      </c>
      <c r="F795" s="170" t="s">
        <v>227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265</v>
      </c>
      <c r="B796" s="114" t="str">
        <f>VLOOKUP(A796,'Data pick slip'!B:F,5,FALSE)</f>
        <v>KHJ-MC400-00</v>
      </c>
      <c r="C796" s="169">
        <v>110730</v>
      </c>
      <c r="D796" s="169" t="e">
        <f>VLOOKUP(C796,Stock_list!D:L,2,FALSE)</f>
        <v>#N/A</v>
      </c>
      <c r="E796" s="282" t="e">
        <f>VLOOKUP(C796,Stock_list!D:L,9,FALSE)</f>
        <v>#N/A</v>
      </c>
      <c r="F796" s="170" t="s">
        <v>227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267</v>
      </c>
      <c r="B797" s="114" t="str">
        <f>VLOOKUP(A797,'Data pick slip'!B:F,5,FALSE)</f>
        <v>KHJ-MC600-00</v>
      </c>
      <c r="C797" s="169">
        <v>110730</v>
      </c>
      <c r="D797" s="169" t="e">
        <f>VLOOKUP(C797,Stock_list!D:L,2,FALSE)</f>
        <v>#N/A</v>
      </c>
      <c r="E797" s="282" t="e">
        <f>VLOOKUP(C797,Stock_list!D:L,9,FALSE)</f>
        <v>#N/A</v>
      </c>
      <c r="F797" s="170" t="s">
        <v>227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268</v>
      </c>
      <c r="B798" s="114" t="str">
        <f>VLOOKUP(A798,'Data pick slip'!B:F,5,FALSE)</f>
        <v>KHJ-MC700-00</v>
      </c>
      <c r="C798" s="169">
        <v>110730</v>
      </c>
      <c r="D798" s="169" t="e">
        <f>VLOOKUP(C798,Stock_list!D:L,2,FALSE)</f>
        <v>#N/A</v>
      </c>
      <c r="E798" s="282" t="e">
        <f>VLOOKUP(C798,Stock_list!D:L,9,FALSE)</f>
        <v>#N/A</v>
      </c>
      <c r="F798" s="170" t="s">
        <v>227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261</v>
      </c>
      <c r="B799" s="114" t="str">
        <f>VLOOKUP(A799,'Data pick slip'!B:F,5,FALSE)</f>
        <v>KHJ-MC100-00</v>
      </c>
      <c r="C799" s="169">
        <v>110731</v>
      </c>
      <c r="D799" s="169" t="e">
        <f>VLOOKUP(C799,Stock_list!D:L,2,FALSE)</f>
        <v>#N/A</v>
      </c>
      <c r="E799" s="282" t="e">
        <f>VLOOKUP(C799,Stock_list!D:L,9,FALSE)</f>
        <v>#N/A</v>
      </c>
      <c r="F799" s="170" t="s">
        <v>227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261</v>
      </c>
      <c r="B800" s="114" t="str">
        <f>VLOOKUP(A800,'Data pick slip'!B:F,5,FALSE)</f>
        <v>KHJ-MC100-00</v>
      </c>
      <c r="C800" s="169">
        <v>110732</v>
      </c>
      <c r="D800" s="169" t="e">
        <f>VLOOKUP(C800,Stock_list!D:L,2,FALSE)</f>
        <v>#N/A</v>
      </c>
      <c r="E800" s="282" t="e">
        <f>VLOOKUP(C800,Stock_list!D:L,9,FALSE)</f>
        <v>#N/A</v>
      </c>
      <c r="F800" s="170" t="s">
        <v>227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264</v>
      </c>
      <c r="B801" s="114" t="str">
        <f>VLOOKUP(A801,'Data pick slip'!B:F,5,FALSE)</f>
        <v>KHJ-MC200-00</v>
      </c>
      <c r="C801" s="169">
        <v>110732</v>
      </c>
      <c r="D801" s="169" t="e">
        <f>VLOOKUP(C801,Stock_list!D:L,2,FALSE)</f>
        <v>#N/A</v>
      </c>
      <c r="E801" s="282" t="e">
        <f>VLOOKUP(C801,Stock_list!D:L,9,FALSE)</f>
        <v>#N/A</v>
      </c>
      <c r="F801" s="170" t="s">
        <v>227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265</v>
      </c>
      <c r="B802" s="114" t="str">
        <f>VLOOKUP(A802,'Data pick slip'!B:F,5,FALSE)</f>
        <v>KHJ-MC400-00</v>
      </c>
      <c r="C802" s="169">
        <v>110732</v>
      </c>
      <c r="D802" s="169" t="e">
        <f>VLOOKUP(C802,Stock_list!D:L,2,FALSE)</f>
        <v>#N/A</v>
      </c>
      <c r="E802" s="282" t="e">
        <f>VLOOKUP(C802,Stock_list!D:L,9,FALSE)</f>
        <v>#N/A</v>
      </c>
      <c r="F802" s="170" t="s">
        <v>227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266</v>
      </c>
      <c r="B803" s="114" t="str">
        <f>VLOOKUP(A803,'Data pick slip'!B:F,5,FALSE)</f>
        <v>KHJ-MC500-00</v>
      </c>
      <c r="C803" s="169">
        <v>110732</v>
      </c>
      <c r="D803" s="169" t="e">
        <f>VLOOKUP(C803,Stock_list!D:L,2,FALSE)</f>
        <v>#N/A</v>
      </c>
      <c r="E803" s="282" t="e">
        <f>VLOOKUP(C803,Stock_list!D:L,9,FALSE)</f>
        <v>#N/A</v>
      </c>
      <c r="F803" s="170" t="s">
        <v>227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267</v>
      </c>
      <c r="B804" s="114" t="str">
        <f>VLOOKUP(A804,'Data pick slip'!B:F,5,FALSE)</f>
        <v>KHJ-MC600-00</v>
      </c>
      <c r="C804" s="169">
        <v>110732</v>
      </c>
      <c r="D804" s="169" t="e">
        <f>VLOOKUP(C804,Stock_list!D:L,2,FALSE)</f>
        <v>#N/A</v>
      </c>
      <c r="E804" s="282" t="e">
        <f>VLOOKUP(C804,Stock_list!D:L,9,FALSE)</f>
        <v>#N/A</v>
      </c>
      <c r="F804" s="170" t="s">
        <v>227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261</v>
      </c>
      <c r="B805" s="114" t="str">
        <f>VLOOKUP(A805,'Data pick slip'!B:F,5,FALSE)</f>
        <v>KHJ-MC100-00</v>
      </c>
      <c r="C805" s="169">
        <v>110733</v>
      </c>
      <c r="D805" s="169" t="e">
        <f>VLOOKUP(C805,Stock_list!D:L,2,FALSE)</f>
        <v>#N/A</v>
      </c>
      <c r="E805" s="282" t="e">
        <f>VLOOKUP(C805,Stock_list!D:L,9,FALSE)</f>
        <v>#N/A</v>
      </c>
      <c r="F805" s="170" t="s">
        <v>227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264</v>
      </c>
      <c r="B806" s="114" t="str">
        <f>VLOOKUP(A806,'Data pick slip'!B:F,5,FALSE)</f>
        <v>KHJ-MC200-00</v>
      </c>
      <c r="C806" s="169">
        <v>110733</v>
      </c>
      <c r="D806" s="169" t="e">
        <f>VLOOKUP(C806,Stock_list!D:L,2,FALSE)</f>
        <v>#N/A</v>
      </c>
      <c r="E806" s="282" t="e">
        <f>VLOOKUP(C806,Stock_list!D:L,9,FALSE)</f>
        <v>#N/A</v>
      </c>
      <c r="F806" s="170" t="s">
        <v>227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265</v>
      </c>
      <c r="B807" s="114" t="str">
        <f>VLOOKUP(A807,'Data pick slip'!B:F,5,FALSE)</f>
        <v>KHJ-MC400-00</v>
      </c>
      <c r="C807" s="169">
        <v>110733</v>
      </c>
      <c r="D807" s="169" t="e">
        <f>VLOOKUP(C807,Stock_list!D:L,2,FALSE)</f>
        <v>#N/A</v>
      </c>
      <c r="E807" s="282" t="e">
        <f>VLOOKUP(C807,Stock_list!D:L,9,FALSE)</f>
        <v>#N/A</v>
      </c>
      <c r="F807" s="170" t="s">
        <v>227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266</v>
      </c>
      <c r="B808" s="114" t="str">
        <f>VLOOKUP(A808,'Data pick slip'!B:F,5,FALSE)</f>
        <v>KHJ-MC500-00</v>
      </c>
      <c r="C808" s="169">
        <v>110733</v>
      </c>
      <c r="D808" s="169" t="e">
        <f>VLOOKUP(C808,Stock_list!D:L,2,FALSE)</f>
        <v>#N/A</v>
      </c>
      <c r="E808" s="282" t="e">
        <f>VLOOKUP(C808,Stock_list!D:L,9,FALSE)</f>
        <v>#N/A</v>
      </c>
      <c r="F808" s="170" t="s">
        <v>227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267</v>
      </c>
      <c r="B809" s="114" t="str">
        <f>VLOOKUP(A809,'Data pick slip'!B:F,5,FALSE)</f>
        <v>KHJ-MC600-00</v>
      </c>
      <c r="C809" s="169">
        <v>110733</v>
      </c>
      <c r="D809" s="169" t="e">
        <f>VLOOKUP(C809,Stock_list!D:L,2,FALSE)</f>
        <v>#N/A</v>
      </c>
      <c r="E809" s="282" t="e">
        <f>VLOOKUP(C809,Stock_list!D:L,9,FALSE)</f>
        <v>#N/A</v>
      </c>
      <c r="F809" s="170" t="s">
        <v>227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261</v>
      </c>
      <c r="B810" s="114" t="str">
        <f>VLOOKUP(A810,'Data pick slip'!B:F,5,FALSE)</f>
        <v>KHJ-MC100-00</v>
      </c>
      <c r="C810" s="169">
        <v>110734</v>
      </c>
      <c r="D810" s="169" t="e">
        <f>VLOOKUP(C810,Stock_list!D:L,2,FALSE)</f>
        <v>#N/A</v>
      </c>
      <c r="E810" s="282" t="e">
        <f>VLOOKUP(C810,Stock_list!D:L,9,FALSE)</f>
        <v>#N/A</v>
      </c>
      <c r="F810" s="170" t="s">
        <v>227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261</v>
      </c>
      <c r="B811" s="114" t="str">
        <f>VLOOKUP(A811,'Data pick slip'!B:F,5,FALSE)</f>
        <v>KHJ-MC100-00</v>
      </c>
      <c r="C811" s="169">
        <v>110737</v>
      </c>
      <c r="D811" s="169" t="e">
        <f>VLOOKUP(C811,Stock_list!D:L,2,FALSE)</f>
        <v>#N/A</v>
      </c>
      <c r="E811" s="282" t="e">
        <f>VLOOKUP(C811,Stock_list!D:L,9,FALSE)</f>
        <v>#N/A</v>
      </c>
      <c r="F811" s="170" t="s">
        <v>227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261</v>
      </c>
      <c r="B812" s="114" t="str">
        <f>VLOOKUP(A812,'Data pick slip'!B:F,5,FALSE)</f>
        <v>KHJ-MC100-00</v>
      </c>
      <c r="C812" s="169"/>
      <c r="D812" s="169"/>
      <c r="E812" s="282" t="s">
        <v>489</v>
      </c>
      <c r="F812" s="170" t="s">
        <v>270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261</v>
      </c>
      <c r="B813" s="114" t="str">
        <f>VLOOKUP(A813,'Data pick slip'!B:F,5,FALSE)</f>
        <v>KHJ-MC100-00</v>
      </c>
      <c r="C813" s="169">
        <v>110756</v>
      </c>
      <c r="D813" s="169" t="e">
        <f>VLOOKUP(C813,Stock_list!D:L,2,FALSE)</f>
        <v>#N/A</v>
      </c>
      <c r="E813" s="282" t="e">
        <f>VLOOKUP(C813,Stock_list!D:L,9,FALSE)</f>
        <v>#N/A</v>
      </c>
      <c r="F813" s="170" t="s">
        <v>227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266</v>
      </c>
      <c r="B814" s="114" t="str">
        <f>VLOOKUP(A814,'Data pick slip'!B:F,5,FALSE)</f>
        <v>KHJ-MC500-00</v>
      </c>
      <c r="C814" s="169">
        <v>110756</v>
      </c>
      <c r="D814" s="169" t="e">
        <f>VLOOKUP(C814,Stock_list!D:L,2,FALSE)</f>
        <v>#N/A</v>
      </c>
      <c r="E814" s="282" t="e">
        <f>VLOOKUP(C814,Stock_list!D:L,9,FALSE)</f>
        <v>#N/A</v>
      </c>
      <c r="F814" s="170" t="s">
        <v>227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261</v>
      </c>
      <c r="B815" s="114" t="str">
        <f>VLOOKUP(A815,'Data pick slip'!B:F,5,FALSE)</f>
        <v>KHJ-MC100-00</v>
      </c>
      <c r="C815" s="169">
        <v>110757</v>
      </c>
      <c r="D815" s="169" t="e">
        <f>VLOOKUP(C815,Stock_list!D:L,2,FALSE)</f>
        <v>#N/A</v>
      </c>
      <c r="E815" s="282" t="e">
        <f>VLOOKUP(C815,Stock_list!D:L,9,FALSE)</f>
        <v>#N/A</v>
      </c>
      <c r="F815" s="170" t="s">
        <v>227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264</v>
      </c>
      <c r="B816" s="114" t="str">
        <f>VLOOKUP(A816,'Data pick slip'!B:F,5,FALSE)</f>
        <v>KHJ-MC200-00</v>
      </c>
      <c r="C816" s="169">
        <v>110757</v>
      </c>
      <c r="D816" s="169" t="e">
        <f>VLOOKUP(C816,Stock_list!D:L,2,FALSE)</f>
        <v>#N/A</v>
      </c>
      <c r="E816" s="282" t="e">
        <f>VLOOKUP(C816,Stock_list!D:L,9,FALSE)</f>
        <v>#N/A</v>
      </c>
      <c r="F816" s="170" t="s">
        <v>227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261</v>
      </c>
      <c r="B817" s="114" t="str">
        <f>VLOOKUP(A817,'Data pick slip'!B:F,5,FALSE)</f>
        <v>KHJ-MC100-00</v>
      </c>
      <c r="C817" s="169">
        <v>110763</v>
      </c>
      <c r="D817" s="169" t="e">
        <f>VLOOKUP(C817,Stock_list!D:L,2,FALSE)</f>
        <v>#N/A</v>
      </c>
      <c r="E817" s="282" t="e">
        <f>VLOOKUP(C817,Stock_list!D:L,9,FALSE)</f>
        <v>#N/A</v>
      </c>
      <c r="F817" s="170" t="s">
        <v>227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264</v>
      </c>
      <c r="B818" s="114" t="str">
        <f>VLOOKUP(A818,'Data pick slip'!B:F,5,FALSE)</f>
        <v>KHJ-MC200-00</v>
      </c>
      <c r="C818" s="169">
        <v>110763</v>
      </c>
      <c r="D818" s="169" t="e">
        <f>VLOOKUP(C818,Stock_list!D:L,2,FALSE)</f>
        <v>#N/A</v>
      </c>
      <c r="E818" s="282" t="e">
        <f>VLOOKUP(C818,Stock_list!D:L,9,FALSE)</f>
        <v>#N/A</v>
      </c>
      <c r="F818" s="170" t="s">
        <v>227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261</v>
      </c>
      <c r="B819" s="114" t="str">
        <f>VLOOKUP(A819,'Data pick slip'!B:F,5,FALSE)</f>
        <v>KHJ-MC100-00</v>
      </c>
      <c r="C819" s="169">
        <v>110766</v>
      </c>
      <c r="D819" s="169" t="e">
        <f>VLOOKUP(C819,Stock_list!D:L,2,FALSE)</f>
        <v>#N/A</v>
      </c>
      <c r="E819" s="282" t="e">
        <f>VLOOKUP(C819,Stock_list!D:L,9,FALSE)</f>
        <v>#N/A</v>
      </c>
      <c r="F819" s="170" t="s">
        <v>227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264</v>
      </c>
      <c r="B820" s="114" t="str">
        <f>VLOOKUP(A820,'Data pick slip'!B:F,5,FALSE)</f>
        <v>KHJ-MC200-00</v>
      </c>
      <c r="C820" s="169">
        <v>110766</v>
      </c>
      <c r="D820" s="169" t="e">
        <f>VLOOKUP(C820,Stock_list!D:L,2,FALSE)</f>
        <v>#N/A</v>
      </c>
      <c r="E820" s="282" t="e">
        <f>VLOOKUP(C820,Stock_list!D:L,9,FALSE)</f>
        <v>#N/A</v>
      </c>
      <c r="F820" s="170" t="s">
        <v>227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261</v>
      </c>
      <c r="B821" s="114" t="str">
        <f>VLOOKUP(A821,'Data pick slip'!B:F,5,FALSE)</f>
        <v>KHJ-MC100-00</v>
      </c>
      <c r="C821" s="169" t="s">
        <v>490</v>
      </c>
      <c r="D821" s="169" t="e">
        <f>VLOOKUP(C821,Stock_list!D:L,2,FALSE)</f>
        <v>#N/A</v>
      </c>
      <c r="E821" s="282" t="e">
        <f>VLOOKUP(C821,Stock_list!D:L,9,FALSE)</f>
        <v>#N/A</v>
      </c>
      <c r="F821" s="170" t="s">
        <v>270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264</v>
      </c>
      <c r="B822" s="114" t="str">
        <f>VLOOKUP(A822,'Data pick slip'!B:F,5,FALSE)</f>
        <v>KHJ-MC200-00</v>
      </c>
      <c r="C822" s="169" t="s">
        <v>490</v>
      </c>
      <c r="D822" s="169" t="e">
        <f>VLOOKUP(C822,Stock_list!D:L,2,FALSE)</f>
        <v>#N/A</v>
      </c>
      <c r="E822" s="282" t="e">
        <f>VLOOKUP(C822,Stock_list!D:L,9,FALSE)</f>
        <v>#N/A</v>
      </c>
      <c r="F822" s="170" t="s">
        <v>270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265</v>
      </c>
      <c r="B823" s="114" t="str">
        <f>VLOOKUP(A823,'Data pick slip'!B:F,5,FALSE)</f>
        <v>KHJ-MC400-00</v>
      </c>
      <c r="C823" s="169" t="s">
        <v>490</v>
      </c>
      <c r="D823" s="169" t="e">
        <f>VLOOKUP(C823,Stock_list!D:L,2,FALSE)</f>
        <v>#N/A</v>
      </c>
      <c r="E823" s="282" t="e">
        <f>VLOOKUP(C823,Stock_list!D:L,9,FALSE)</f>
        <v>#N/A</v>
      </c>
      <c r="F823" s="170" t="s">
        <v>270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268</v>
      </c>
      <c r="B824" s="114" t="str">
        <f>VLOOKUP(A824,'Data pick slip'!B:F,5,FALSE)</f>
        <v>KHJ-MC700-00</v>
      </c>
      <c r="C824" s="169" t="s">
        <v>490</v>
      </c>
      <c r="D824" s="169" t="e">
        <f>VLOOKUP(C824,Stock_list!D:L,2,FALSE)</f>
        <v>#N/A</v>
      </c>
      <c r="E824" s="282" t="e">
        <f>VLOOKUP(C824,Stock_list!D:L,9,FALSE)</f>
        <v>#N/A</v>
      </c>
      <c r="F824" s="170" t="s">
        <v>270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269</v>
      </c>
      <c r="B825" s="114" t="str">
        <f>VLOOKUP(A825,'Data pick slip'!B:F,5,FALSE)</f>
        <v>KHJ-MC800-00</v>
      </c>
      <c r="C825" s="169" t="s">
        <v>490</v>
      </c>
      <c r="D825" s="169" t="e">
        <f>VLOOKUP(C825,Stock_list!D:L,2,FALSE)</f>
        <v>#N/A</v>
      </c>
      <c r="E825" s="282" t="e">
        <f>VLOOKUP(C825,Stock_list!D:L,9,FALSE)</f>
        <v>#N/A</v>
      </c>
      <c r="F825" s="170" t="s">
        <v>270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261</v>
      </c>
      <c r="B826" s="114" t="str">
        <f>VLOOKUP(A826,'Data pick slip'!B:F,5,FALSE)</f>
        <v>KHJ-MC100-00</v>
      </c>
      <c r="C826" s="169">
        <v>110810</v>
      </c>
      <c r="D826" s="169" t="e">
        <f>VLOOKUP(C826,Stock_list!D:L,2,FALSE)</f>
        <v>#N/A</v>
      </c>
      <c r="E826" s="282" t="e">
        <f>VLOOKUP(C826,Stock_list!D:L,9,FALSE)</f>
        <v>#N/A</v>
      </c>
      <c r="F826" s="170" t="s">
        <v>227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264</v>
      </c>
      <c r="B827" s="114" t="str">
        <f>VLOOKUP(A827,'Data pick slip'!B:F,5,FALSE)</f>
        <v>KHJ-MC200-00</v>
      </c>
      <c r="C827" s="169">
        <v>110810</v>
      </c>
      <c r="D827" s="169" t="e">
        <f>VLOOKUP(C827,Stock_list!D:L,2,FALSE)</f>
        <v>#N/A</v>
      </c>
      <c r="E827" s="282" t="e">
        <f>VLOOKUP(C827,Stock_list!D:L,9,FALSE)</f>
        <v>#N/A</v>
      </c>
      <c r="F827" s="170" t="s">
        <v>227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265</v>
      </c>
      <c r="B828" s="114" t="str">
        <f>VLOOKUP(A828,'Data pick slip'!B:F,5,FALSE)</f>
        <v>KHJ-MC400-00</v>
      </c>
      <c r="C828" s="169">
        <v>110810</v>
      </c>
      <c r="D828" s="169" t="e">
        <f>VLOOKUP(C828,Stock_list!D:L,2,FALSE)</f>
        <v>#N/A</v>
      </c>
      <c r="E828" s="282" t="e">
        <f>VLOOKUP(C828,Stock_list!D:L,9,FALSE)</f>
        <v>#N/A</v>
      </c>
      <c r="F828" s="170" t="s">
        <v>227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261</v>
      </c>
      <c r="B829" s="114" t="str">
        <f>VLOOKUP(A829,'Data pick slip'!B:F,5,FALSE)</f>
        <v>KHJ-MC100-00</v>
      </c>
      <c r="C829" s="169">
        <v>110813</v>
      </c>
      <c r="D829" s="169" t="e">
        <f>VLOOKUP(C829,Stock_list!D:L,2,FALSE)</f>
        <v>#N/A</v>
      </c>
      <c r="E829" s="282" t="e">
        <f>VLOOKUP(C829,Stock_list!D:L,9,FALSE)</f>
        <v>#N/A</v>
      </c>
      <c r="F829" s="170" t="s">
        <v>227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264</v>
      </c>
      <c r="B830" s="114" t="str">
        <f>VLOOKUP(A830,'Data pick slip'!B:F,5,FALSE)</f>
        <v>KHJ-MC200-00</v>
      </c>
      <c r="C830" s="169">
        <v>110813</v>
      </c>
      <c r="D830" s="169" t="e">
        <f>VLOOKUP(C830,Stock_list!D:L,2,FALSE)</f>
        <v>#N/A</v>
      </c>
      <c r="E830" s="282" t="e">
        <f>VLOOKUP(C830,Stock_list!D:L,9,FALSE)</f>
        <v>#N/A</v>
      </c>
      <c r="F830" s="170" t="s">
        <v>227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266</v>
      </c>
      <c r="B831" s="114" t="str">
        <f>VLOOKUP(A831,'Data pick slip'!B:F,5,FALSE)</f>
        <v>KHJ-MC500-00</v>
      </c>
      <c r="C831" s="169">
        <v>110813</v>
      </c>
      <c r="D831" s="169" t="e">
        <f>VLOOKUP(C831,Stock_list!D:L,2,FALSE)</f>
        <v>#N/A</v>
      </c>
      <c r="E831" s="282" t="e">
        <f>VLOOKUP(C831,Stock_list!D:L,9,FALSE)</f>
        <v>#N/A</v>
      </c>
      <c r="F831" s="170" t="s">
        <v>227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267</v>
      </c>
      <c r="B832" s="114" t="str">
        <f>VLOOKUP(A832,'Data pick slip'!B:F,5,FALSE)</f>
        <v>KHJ-MC600-00</v>
      </c>
      <c r="C832" s="169">
        <v>110813</v>
      </c>
      <c r="D832" s="169" t="e">
        <f>VLOOKUP(C832,Stock_list!D:L,2,FALSE)</f>
        <v>#N/A</v>
      </c>
      <c r="E832" s="282" t="e">
        <f>VLOOKUP(C832,Stock_list!D:L,9,FALSE)</f>
        <v>#N/A</v>
      </c>
      <c r="F832" s="170" t="s">
        <v>227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261</v>
      </c>
      <c r="B833" s="114" t="str">
        <f>VLOOKUP(A833,'Data pick slip'!B:F,5,FALSE)</f>
        <v>KHJ-MC100-00</v>
      </c>
      <c r="C833" s="169">
        <v>110825</v>
      </c>
      <c r="D833" s="169" t="e">
        <f>VLOOKUP(C833,Stock_list!D:L,2,FALSE)</f>
        <v>#N/A</v>
      </c>
      <c r="E833" s="282" t="e">
        <f>VLOOKUP(C833,Stock_list!D:L,9,FALSE)</f>
        <v>#N/A</v>
      </c>
      <c r="F833" s="170" t="s">
        <v>227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264</v>
      </c>
      <c r="B834" s="114" t="str">
        <f>VLOOKUP(A834,'Data pick slip'!B:F,5,FALSE)</f>
        <v>KHJ-MC200-00</v>
      </c>
      <c r="C834" s="169">
        <v>110825</v>
      </c>
      <c r="D834" s="169" t="e">
        <f>VLOOKUP(C834,Stock_list!D:L,2,FALSE)</f>
        <v>#N/A</v>
      </c>
      <c r="E834" s="282" t="e">
        <f>VLOOKUP(C834,Stock_list!D:L,9,FALSE)</f>
        <v>#N/A</v>
      </c>
      <c r="F834" s="170" t="s">
        <v>227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261</v>
      </c>
      <c r="B835" s="114" t="str">
        <f>VLOOKUP(A835,'Data pick slip'!B:F,5,FALSE)</f>
        <v>KHJ-MC100-00</v>
      </c>
      <c r="C835" s="169">
        <v>110826</v>
      </c>
      <c r="D835" s="169" t="e">
        <f>VLOOKUP(C835,Stock_list!D:L,2,FALSE)</f>
        <v>#N/A</v>
      </c>
      <c r="E835" s="282" t="e">
        <f>VLOOKUP(C835,Stock_list!D:L,9,FALSE)</f>
        <v>#N/A</v>
      </c>
      <c r="F835" s="170" t="s">
        <v>227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264</v>
      </c>
      <c r="B836" s="114" t="str">
        <f>VLOOKUP(A836,'Data pick slip'!B:F,5,FALSE)</f>
        <v>KHJ-MC200-00</v>
      </c>
      <c r="C836" s="169">
        <v>110826</v>
      </c>
      <c r="D836" s="169" t="e">
        <f>VLOOKUP(C836,Stock_list!D:L,2,FALSE)</f>
        <v>#N/A</v>
      </c>
      <c r="E836" s="282" t="e">
        <f>VLOOKUP(C836,Stock_list!D:L,9,FALSE)</f>
        <v>#N/A</v>
      </c>
      <c r="F836" s="170" t="s">
        <v>227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261</v>
      </c>
      <c r="B837" s="114" t="str">
        <f>VLOOKUP(A837,'Data pick slip'!B:F,5,FALSE)</f>
        <v>KHJ-MC100-00</v>
      </c>
      <c r="C837" s="169">
        <v>110827</v>
      </c>
      <c r="D837" s="169" t="e">
        <f>VLOOKUP(C837,Stock_list!D:L,2,FALSE)</f>
        <v>#N/A</v>
      </c>
      <c r="E837" s="282" t="e">
        <f>VLOOKUP(C837,Stock_list!D:L,9,FALSE)</f>
        <v>#N/A</v>
      </c>
      <c r="F837" s="170" t="s">
        <v>227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264</v>
      </c>
      <c r="B838" s="114" t="str">
        <f>VLOOKUP(A838,'Data pick slip'!B:F,5,FALSE)</f>
        <v>KHJ-MC200-00</v>
      </c>
      <c r="C838" s="169">
        <v>110827</v>
      </c>
      <c r="D838" s="169" t="e">
        <f>VLOOKUP(C838,Stock_list!D:L,2,FALSE)</f>
        <v>#N/A</v>
      </c>
      <c r="E838" s="282" t="e">
        <f>VLOOKUP(C838,Stock_list!D:L,9,FALSE)</f>
        <v>#N/A</v>
      </c>
      <c r="F838" s="170" t="s">
        <v>227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261</v>
      </c>
      <c r="B839" s="114" t="str">
        <f>VLOOKUP(A839,'Data pick slip'!B:F,5,FALSE)</f>
        <v>KHJ-MC100-00</v>
      </c>
      <c r="C839" s="169">
        <v>110828</v>
      </c>
      <c r="D839" s="169" t="e">
        <f>VLOOKUP(C839,Stock_list!D:L,2,FALSE)</f>
        <v>#N/A</v>
      </c>
      <c r="E839" s="282" t="e">
        <f>VLOOKUP(C839,Stock_list!D:L,9,FALSE)</f>
        <v>#N/A</v>
      </c>
      <c r="F839" s="170" t="s">
        <v>227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264</v>
      </c>
      <c r="B840" s="114" t="str">
        <f>VLOOKUP(A840,'Data pick slip'!B:F,5,FALSE)</f>
        <v>KHJ-MC200-00</v>
      </c>
      <c r="C840" s="169">
        <v>110828</v>
      </c>
      <c r="D840" s="169" t="e">
        <f>VLOOKUP(C840,Stock_list!D:L,2,FALSE)</f>
        <v>#N/A</v>
      </c>
      <c r="E840" s="282" t="e">
        <f>VLOOKUP(C840,Stock_list!D:L,9,FALSE)</f>
        <v>#N/A</v>
      </c>
      <c r="F840" s="170" t="s">
        <v>227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261</v>
      </c>
      <c r="B841" s="114" t="str">
        <f>VLOOKUP(A841,'Data pick slip'!B:F,5,FALSE)</f>
        <v>KHJ-MC100-00</v>
      </c>
      <c r="C841" s="169">
        <v>110829</v>
      </c>
      <c r="D841" s="169" t="e">
        <f>VLOOKUP(C841,Stock_list!D:L,2,FALSE)</f>
        <v>#N/A</v>
      </c>
      <c r="E841" s="282" t="e">
        <f>VLOOKUP(C841,Stock_list!D:L,9,FALSE)</f>
        <v>#N/A</v>
      </c>
      <c r="F841" s="170" t="s">
        <v>227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264</v>
      </c>
      <c r="B842" s="114" t="str">
        <f>VLOOKUP(A842,'Data pick slip'!B:F,5,FALSE)</f>
        <v>KHJ-MC200-00</v>
      </c>
      <c r="C842" s="169">
        <v>110829</v>
      </c>
      <c r="D842" s="169" t="e">
        <f>VLOOKUP(C842,Stock_list!D:L,2,FALSE)</f>
        <v>#N/A</v>
      </c>
      <c r="E842" s="282" t="e">
        <f>VLOOKUP(C842,Stock_list!D:L,9,FALSE)</f>
        <v>#N/A</v>
      </c>
      <c r="F842" s="170" t="s">
        <v>227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261</v>
      </c>
      <c r="B843" s="114" t="str">
        <f>VLOOKUP(A843,'Data pick slip'!B:F,5,FALSE)</f>
        <v>KHJ-MC100-00</v>
      </c>
      <c r="C843" s="169">
        <v>110830</v>
      </c>
      <c r="D843" s="169" t="e">
        <f>VLOOKUP(C843,Stock_list!D:L,2,FALSE)</f>
        <v>#N/A</v>
      </c>
      <c r="E843" s="282" t="e">
        <f>VLOOKUP(C843,Stock_list!D:L,9,FALSE)</f>
        <v>#N/A</v>
      </c>
      <c r="F843" s="170" t="s">
        <v>227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261</v>
      </c>
      <c r="B844" s="114" t="str">
        <f>VLOOKUP(A844,'Data pick slip'!B:F,5,FALSE)</f>
        <v>KHJ-MC100-00</v>
      </c>
      <c r="C844" s="169">
        <v>110831</v>
      </c>
      <c r="D844" s="169" t="e">
        <f>VLOOKUP(C844,Stock_list!D:L,2,FALSE)</f>
        <v>#N/A</v>
      </c>
      <c r="E844" s="282" t="e">
        <f>VLOOKUP(C844,Stock_list!D:L,9,FALSE)</f>
        <v>#N/A</v>
      </c>
      <c r="F844" s="170" t="s">
        <v>227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261</v>
      </c>
      <c r="B845" s="114" t="str">
        <f>VLOOKUP(A845,'Data pick slip'!B:F,5,FALSE)</f>
        <v>KHJ-MC100-00</v>
      </c>
      <c r="C845" s="169">
        <v>110832</v>
      </c>
      <c r="D845" s="169" t="e">
        <f>VLOOKUP(C845,Stock_list!D:L,2,FALSE)</f>
        <v>#N/A</v>
      </c>
      <c r="E845" s="282" t="e">
        <f>VLOOKUP(C845,Stock_list!D:L,9,FALSE)</f>
        <v>#N/A</v>
      </c>
      <c r="F845" s="170" t="s">
        <v>227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272</v>
      </c>
      <c r="B846" s="114" t="str">
        <f>VLOOKUP(A846,'Data pick slip'!B:F,5,FALSE)</f>
        <v>KLJ-MC100-00</v>
      </c>
      <c r="C846" s="169">
        <v>110833</v>
      </c>
      <c r="D846" s="169" t="e">
        <f>VLOOKUP(C846,Stock_list!D:L,2,FALSE)</f>
        <v>#N/A</v>
      </c>
      <c r="E846" s="282" t="e">
        <f>VLOOKUP(C846,Stock_list!D:L,9,FALSE)</f>
        <v>#N/A</v>
      </c>
      <c r="F846" s="170" t="s">
        <v>227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261</v>
      </c>
      <c r="B847" s="114" t="str">
        <f>VLOOKUP(A847,'Data pick slip'!B:F,5,FALSE)</f>
        <v>KHJ-MC100-00</v>
      </c>
      <c r="C847" s="169">
        <v>110833</v>
      </c>
      <c r="D847" s="169" t="e">
        <f>VLOOKUP(C847,Stock_list!D:L,2,FALSE)</f>
        <v>#N/A</v>
      </c>
      <c r="E847" s="282" t="e">
        <f>VLOOKUP(C847,Stock_list!D:L,9,FALSE)</f>
        <v>#N/A</v>
      </c>
      <c r="F847" s="170" t="s">
        <v>227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265</v>
      </c>
      <c r="B848" s="114" t="str">
        <f>VLOOKUP(A848,'Data pick slip'!B:F,5,FALSE)</f>
        <v>KHJ-MC400-00</v>
      </c>
      <c r="C848" s="169">
        <v>110833</v>
      </c>
      <c r="D848" s="169" t="e">
        <f>VLOOKUP(C848,Stock_list!D:L,2,FALSE)</f>
        <v>#N/A</v>
      </c>
      <c r="E848" s="282" t="e">
        <f>VLOOKUP(C848,Stock_list!D:L,9,FALSE)</f>
        <v>#N/A</v>
      </c>
      <c r="F848" s="170" t="s">
        <v>227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267</v>
      </c>
      <c r="B849" s="114" t="str">
        <f>VLOOKUP(A849,'Data pick slip'!B:F,5,FALSE)</f>
        <v>KHJ-MC600-00</v>
      </c>
      <c r="C849" s="169">
        <v>110833</v>
      </c>
      <c r="D849" s="169" t="e">
        <f>VLOOKUP(C849,Stock_list!D:L,2,FALSE)</f>
        <v>#N/A</v>
      </c>
      <c r="E849" s="282" t="e">
        <f>VLOOKUP(C849,Stock_list!D:L,9,FALSE)</f>
        <v>#N/A</v>
      </c>
      <c r="F849" s="170" t="s">
        <v>227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268</v>
      </c>
      <c r="B850" s="114" t="str">
        <f>VLOOKUP(A850,'Data pick slip'!B:F,5,FALSE)</f>
        <v>KHJ-MC700-00</v>
      </c>
      <c r="C850" s="169">
        <v>110833</v>
      </c>
      <c r="D850" s="169" t="e">
        <f>VLOOKUP(C850,Stock_list!D:L,2,FALSE)</f>
        <v>#N/A</v>
      </c>
      <c r="E850" s="282" t="e">
        <f>VLOOKUP(C850,Stock_list!D:L,9,FALSE)</f>
        <v>#N/A</v>
      </c>
      <c r="F850" s="170" t="s">
        <v>227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261</v>
      </c>
      <c r="B851" s="114" t="str">
        <f>VLOOKUP(A851,'Data pick slip'!B:F,5,FALSE)</f>
        <v>KHJ-MC100-00</v>
      </c>
      <c r="C851" s="169">
        <v>110834</v>
      </c>
      <c r="D851" s="169" t="e">
        <f>VLOOKUP(C851,Stock_list!D:L,2,FALSE)</f>
        <v>#N/A</v>
      </c>
      <c r="E851" s="282" t="e">
        <f>VLOOKUP(C851,Stock_list!D:L,9,FALSE)</f>
        <v>#N/A</v>
      </c>
      <c r="F851" s="170" t="s">
        <v>227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264</v>
      </c>
      <c r="B852" s="114" t="str">
        <f>VLOOKUP(A852,'Data pick slip'!B:F,5,FALSE)</f>
        <v>KHJ-MC200-00</v>
      </c>
      <c r="C852" s="169">
        <v>110834</v>
      </c>
      <c r="D852" s="169" t="e">
        <f>VLOOKUP(C852,Stock_list!D:L,2,FALSE)</f>
        <v>#N/A</v>
      </c>
      <c r="E852" s="282" t="e">
        <f>VLOOKUP(C852,Stock_list!D:L,9,FALSE)</f>
        <v>#N/A</v>
      </c>
      <c r="F852" s="170" t="s">
        <v>227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265</v>
      </c>
      <c r="B853" s="114" t="str">
        <f>VLOOKUP(A853,'Data pick slip'!B:F,5,FALSE)</f>
        <v>KHJ-MC400-00</v>
      </c>
      <c r="C853" s="169">
        <v>110834</v>
      </c>
      <c r="D853" s="169" t="e">
        <f>VLOOKUP(C853,Stock_list!D:L,2,FALSE)</f>
        <v>#N/A</v>
      </c>
      <c r="E853" s="282" t="e">
        <f>VLOOKUP(C853,Stock_list!D:L,9,FALSE)</f>
        <v>#N/A</v>
      </c>
      <c r="F853" s="170" t="s">
        <v>227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261</v>
      </c>
      <c r="B854" s="114" t="str">
        <f>VLOOKUP(A854,'Data pick slip'!B:F,5,FALSE)</f>
        <v>KHJ-MC100-00</v>
      </c>
      <c r="C854" s="169">
        <v>110835</v>
      </c>
      <c r="D854" s="169" t="e">
        <f>VLOOKUP(C854,Stock_list!D:L,2,FALSE)</f>
        <v>#N/A</v>
      </c>
      <c r="E854" s="282" t="e">
        <f>VLOOKUP(C854,Stock_list!D:L,9,FALSE)</f>
        <v>#N/A</v>
      </c>
      <c r="F854" s="170" t="s">
        <v>227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261</v>
      </c>
      <c r="B855" s="114" t="str">
        <f>VLOOKUP(A855,'Data pick slip'!B:F,5,FALSE)</f>
        <v>KHJ-MC100-00</v>
      </c>
      <c r="C855" s="169">
        <v>110836</v>
      </c>
      <c r="D855" s="169" t="e">
        <f>VLOOKUP(C855,Stock_list!D:L,2,FALSE)</f>
        <v>#N/A</v>
      </c>
      <c r="E855" s="282" t="e">
        <f>VLOOKUP(C855,Stock_list!D:L,9,FALSE)</f>
        <v>#N/A</v>
      </c>
      <c r="F855" s="170" t="s">
        <v>227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261</v>
      </c>
      <c r="B856" s="114" t="str">
        <f>VLOOKUP(A856,'Data pick slip'!B:F,5,FALSE)</f>
        <v>KHJ-MC100-00</v>
      </c>
      <c r="C856" s="169">
        <v>110837</v>
      </c>
      <c r="D856" s="169" t="e">
        <f>VLOOKUP(C856,Stock_list!D:L,2,FALSE)</f>
        <v>#N/A</v>
      </c>
      <c r="E856" s="282" t="e">
        <f>VLOOKUP(C856,Stock_list!D:L,9,FALSE)</f>
        <v>#N/A</v>
      </c>
      <c r="F856" s="170" t="s">
        <v>227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261</v>
      </c>
      <c r="B857" s="114" t="str">
        <f>VLOOKUP(A857,'Data pick slip'!B:F,5,FALSE)</f>
        <v>KHJ-MC100-00</v>
      </c>
      <c r="C857" s="169">
        <v>110838</v>
      </c>
      <c r="D857" s="169" t="e">
        <f>VLOOKUP(C857,Stock_list!D:L,2,FALSE)</f>
        <v>#N/A</v>
      </c>
      <c r="E857" s="282" t="e">
        <f>VLOOKUP(C857,Stock_list!D:L,9,FALSE)</f>
        <v>#N/A</v>
      </c>
      <c r="F857" s="170" t="s">
        <v>227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261</v>
      </c>
      <c r="B858" s="114" t="str">
        <f>VLOOKUP(A858,'Data pick slip'!B:F,5,FALSE)</f>
        <v>KHJ-MC100-00</v>
      </c>
      <c r="C858" s="169"/>
      <c r="D858" s="169"/>
      <c r="E858" s="282" t="s">
        <v>491</v>
      </c>
      <c r="F858" s="170" t="s">
        <v>270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265</v>
      </c>
      <c r="B859" s="114" t="str">
        <f>VLOOKUP(A859,'Data pick slip'!B:F,5,FALSE)</f>
        <v>KHJ-MC400-00</v>
      </c>
      <c r="C859" s="169"/>
      <c r="D859" s="169"/>
      <c r="E859" s="282" t="s">
        <v>491</v>
      </c>
      <c r="F859" s="170" t="s">
        <v>270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272</v>
      </c>
      <c r="B860" s="114" t="str">
        <f>VLOOKUP(A860,'Data pick slip'!B:F,5,FALSE)</f>
        <v>KLJ-MC100-00</v>
      </c>
      <c r="C860" s="169"/>
      <c r="D860" s="169"/>
      <c r="E860" s="282" t="s">
        <v>491</v>
      </c>
      <c r="F860" s="170" t="s">
        <v>270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261</v>
      </c>
      <c r="B861" s="114" t="str">
        <f>VLOOKUP(A861,'Data pick slip'!B:F,5,FALSE)</f>
        <v>KHJ-MC100-00</v>
      </c>
      <c r="C861" s="169"/>
      <c r="D861" s="169"/>
      <c r="E861" s="282" t="s">
        <v>492</v>
      </c>
      <c r="F861" s="170" t="s">
        <v>270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264</v>
      </c>
      <c r="B862" s="114" t="str">
        <f>VLOOKUP(A862,'Data pick slip'!B:F,5,FALSE)</f>
        <v>KHJ-MC200-00</v>
      </c>
      <c r="C862" s="169"/>
      <c r="D862" s="169"/>
      <c r="E862" s="282" t="s">
        <v>492</v>
      </c>
      <c r="F862" s="170" t="s">
        <v>270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261</v>
      </c>
      <c r="B863" s="114" t="str">
        <f>VLOOKUP(A863,'Data pick slip'!B:F,5,FALSE)</f>
        <v>KHJ-MC100-00</v>
      </c>
      <c r="C863" s="169">
        <v>110863</v>
      </c>
      <c r="D863" s="169" t="e">
        <f>VLOOKUP(C863,Stock_list!D:L,2,FALSE)</f>
        <v>#N/A</v>
      </c>
      <c r="E863" s="282" t="e">
        <f>VLOOKUP(C863,Stock_list!D:L,9,FALSE)</f>
        <v>#N/A</v>
      </c>
      <c r="F863" s="170" t="s">
        <v>227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264</v>
      </c>
      <c r="B864" s="114" t="str">
        <f>VLOOKUP(A864,'Data pick slip'!B:F,5,FALSE)</f>
        <v>KHJ-MC200-00</v>
      </c>
      <c r="C864" s="169">
        <v>110863</v>
      </c>
      <c r="D864" s="169" t="e">
        <f>VLOOKUP(C864,Stock_list!D:L,2,FALSE)</f>
        <v>#N/A</v>
      </c>
      <c r="E864" s="282" t="e">
        <f>VLOOKUP(C864,Stock_list!D:L,9,FALSE)</f>
        <v>#N/A</v>
      </c>
      <c r="F864" s="170" t="s">
        <v>227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265</v>
      </c>
      <c r="B865" s="114" t="str">
        <f>VLOOKUP(A865,'Data pick slip'!B:F,5,FALSE)</f>
        <v>KHJ-MC400-00</v>
      </c>
      <c r="C865" s="169">
        <v>110863</v>
      </c>
      <c r="D865" s="169" t="e">
        <f>VLOOKUP(C865,Stock_list!D:L,2,FALSE)</f>
        <v>#N/A</v>
      </c>
      <c r="E865" s="282" t="e">
        <f>VLOOKUP(C865,Stock_list!D:L,9,FALSE)</f>
        <v>#N/A</v>
      </c>
      <c r="F865" s="170" t="s">
        <v>227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261</v>
      </c>
      <c r="B866" s="114" t="str">
        <f>VLOOKUP(A866,'Data pick slip'!B:F,5,FALSE)</f>
        <v>KHJ-MC100-00</v>
      </c>
      <c r="C866" s="169">
        <v>110864</v>
      </c>
      <c r="D866" s="169" t="e">
        <f>VLOOKUP(C866,Stock_list!D:L,2,FALSE)</f>
        <v>#N/A</v>
      </c>
      <c r="E866" s="282" t="e">
        <f>VLOOKUP(C866,Stock_list!D:L,9,FALSE)</f>
        <v>#N/A</v>
      </c>
      <c r="F866" s="170" t="s">
        <v>227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264</v>
      </c>
      <c r="B867" s="114" t="str">
        <f>VLOOKUP(A867,'Data pick slip'!B:F,5,FALSE)</f>
        <v>KHJ-MC200-00</v>
      </c>
      <c r="C867" s="169">
        <v>110864</v>
      </c>
      <c r="D867" s="169" t="e">
        <f>VLOOKUP(C867,Stock_list!D:L,2,FALSE)</f>
        <v>#N/A</v>
      </c>
      <c r="E867" s="282" t="e">
        <f>VLOOKUP(C867,Stock_list!D:L,9,FALSE)</f>
        <v>#N/A</v>
      </c>
      <c r="F867" s="170" t="s">
        <v>227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265</v>
      </c>
      <c r="B868" s="114" t="str">
        <f>VLOOKUP(A868,'Data pick slip'!B:F,5,FALSE)</f>
        <v>KHJ-MC400-00</v>
      </c>
      <c r="C868" s="169">
        <v>110864</v>
      </c>
      <c r="D868" s="169" t="e">
        <f>VLOOKUP(C868,Stock_list!D:L,2,FALSE)</f>
        <v>#N/A</v>
      </c>
      <c r="E868" s="282" t="e">
        <f>VLOOKUP(C868,Stock_list!D:L,9,FALSE)</f>
        <v>#N/A</v>
      </c>
      <c r="F868" s="170" t="s">
        <v>227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272</v>
      </c>
      <c r="B869" s="114" t="str">
        <f>VLOOKUP(A869,'Data pick slip'!B:F,5,FALSE)</f>
        <v>KLJ-MC100-00</v>
      </c>
      <c r="C869" s="169">
        <v>110865</v>
      </c>
      <c r="D869" s="169" t="e">
        <f>VLOOKUP(C869,Stock_list!D:L,2,FALSE)</f>
        <v>#N/A</v>
      </c>
      <c r="E869" s="282" t="e">
        <f>VLOOKUP(C869,Stock_list!D:L,9,FALSE)</f>
        <v>#N/A</v>
      </c>
      <c r="F869" s="170" t="s">
        <v>227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273</v>
      </c>
      <c r="B870" s="114" t="str">
        <f>VLOOKUP(A870,'Data pick slip'!B:F,5,FALSE)</f>
        <v>KLJ-MC200-00</v>
      </c>
      <c r="C870" s="169">
        <v>110865</v>
      </c>
      <c r="D870" s="169" t="e">
        <f>VLOOKUP(C870,Stock_list!D:L,2,FALSE)</f>
        <v>#N/A</v>
      </c>
      <c r="E870" s="282" t="e">
        <f>VLOOKUP(C870,Stock_list!D:L,9,FALSE)</f>
        <v>#N/A</v>
      </c>
      <c r="F870" s="170" t="s">
        <v>227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274</v>
      </c>
      <c r="B871" s="114" t="str">
        <f>VLOOKUP(A871,'Data pick slip'!B:F,5,FALSE)</f>
        <v>KLJ-MC400-00</v>
      </c>
      <c r="C871" s="169">
        <v>110865</v>
      </c>
      <c r="D871" s="169" t="e">
        <f>VLOOKUP(C871,Stock_list!D:L,2,FALSE)</f>
        <v>#N/A</v>
      </c>
      <c r="E871" s="282" t="e">
        <f>VLOOKUP(C871,Stock_list!D:L,9,FALSE)</f>
        <v>#N/A</v>
      </c>
      <c r="F871" s="170" t="s">
        <v>227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272</v>
      </c>
      <c r="B872" s="114" t="str">
        <f>VLOOKUP(A872,'Data pick slip'!B:F,5,FALSE)</f>
        <v>KLJ-MC100-00</v>
      </c>
      <c r="C872" s="169">
        <v>110866</v>
      </c>
      <c r="D872" s="169" t="e">
        <f>VLOOKUP(C872,Stock_list!D:L,2,FALSE)</f>
        <v>#N/A</v>
      </c>
      <c r="E872" s="282" t="e">
        <f>VLOOKUP(C872,Stock_list!D:L,9,FALSE)</f>
        <v>#N/A</v>
      </c>
      <c r="F872" s="170" t="s">
        <v>227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273</v>
      </c>
      <c r="B873" s="114" t="str">
        <f>VLOOKUP(A873,'Data pick slip'!B:F,5,FALSE)</f>
        <v>KLJ-MC200-00</v>
      </c>
      <c r="C873" s="169">
        <v>110866</v>
      </c>
      <c r="D873" s="169" t="e">
        <f>VLOOKUP(C873,Stock_list!D:L,2,FALSE)</f>
        <v>#N/A</v>
      </c>
      <c r="E873" s="282" t="e">
        <f>VLOOKUP(C873,Stock_list!D:L,9,FALSE)</f>
        <v>#N/A</v>
      </c>
      <c r="F873" s="170" t="s">
        <v>227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274</v>
      </c>
      <c r="B874" s="114" t="str">
        <f>VLOOKUP(A874,'Data pick slip'!B:F,5,FALSE)</f>
        <v>KLJ-MC400-00</v>
      </c>
      <c r="C874" s="169">
        <v>110866</v>
      </c>
      <c r="D874" s="169" t="e">
        <f>VLOOKUP(C874,Stock_list!D:L,2,FALSE)</f>
        <v>#N/A</v>
      </c>
      <c r="E874" s="282" t="e">
        <f>VLOOKUP(C874,Stock_list!D:L,9,FALSE)</f>
        <v>#N/A</v>
      </c>
      <c r="F874" s="170" t="s">
        <v>227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261</v>
      </c>
      <c r="B875" s="114" t="str">
        <f>VLOOKUP(A875,'Data pick slip'!B:F,5,FALSE)</f>
        <v>KHJ-MC100-00</v>
      </c>
      <c r="C875" s="169">
        <v>110867</v>
      </c>
      <c r="D875" s="169" t="e">
        <f>VLOOKUP(C875,Stock_list!D:L,2,FALSE)</f>
        <v>#N/A</v>
      </c>
      <c r="E875" s="282" t="e">
        <f>VLOOKUP(C875,Stock_list!D:L,9,FALSE)</f>
        <v>#N/A</v>
      </c>
      <c r="F875" s="170" t="s">
        <v>227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265</v>
      </c>
      <c r="B876" s="114" t="str">
        <f>VLOOKUP(A876,'Data pick slip'!B:F,5,FALSE)</f>
        <v>KHJ-MC400-00</v>
      </c>
      <c r="C876" s="169">
        <v>110867</v>
      </c>
      <c r="D876" s="169" t="e">
        <f>VLOOKUP(C876,Stock_list!D:L,2,FALSE)</f>
        <v>#N/A</v>
      </c>
      <c r="E876" s="282" t="e">
        <f>VLOOKUP(C876,Stock_list!D:L,9,FALSE)</f>
        <v>#N/A</v>
      </c>
      <c r="F876" s="170" t="s">
        <v>227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266</v>
      </c>
      <c r="B877" s="114" t="str">
        <f>VLOOKUP(A877,'Data pick slip'!B:F,5,FALSE)</f>
        <v>KHJ-MC500-00</v>
      </c>
      <c r="C877" s="169">
        <v>110867</v>
      </c>
      <c r="D877" s="169" t="e">
        <f>VLOOKUP(C877,Stock_list!D:L,2,FALSE)</f>
        <v>#N/A</v>
      </c>
      <c r="E877" s="282" t="e">
        <f>VLOOKUP(C877,Stock_list!D:L,9,FALSE)</f>
        <v>#N/A</v>
      </c>
      <c r="F877" s="170" t="s">
        <v>227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267</v>
      </c>
      <c r="B878" s="114" t="str">
        <f>VLOOKUP(A878,'Data pick slip'!B:F,5,FALSE)</f>
        <v>KHJ-MC600-00</v>
      </c>
      <c r="C878" s="169">
        <v>110867</v>
      </c>
      <c r="D878" s="169" t="e">
        <f>VLOOKUP(C878,Stock_list!D:L,2,FALSE)</f>
        <v>#N/A</v>
      </c>
      <c r="E878" s="282" t="e">
        <f>VLOOKUP(C878,Stock_list!D:L,9,FALSE)</f>
        <v>#N/A</v>
      </c>
      <c r="F878" s="170" t="s">
        <v>227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268</v>
      </c>
      <c r="B879" s="114" t="str">
        <f>VLOOKUP(A879,'Data pick slip'!B:F,5,FALSE)</f>
        <v>KHJ-MC700-00</v>
      </c>
      <c r="C879" s="169">
        <v>110867</v>
      </c>
      <c r="D879" s="169" t="e">
        <f>VLOOKUP(C879,Stock_list!D:L,2,FALSE)</f>
        <v>#N/A</v>
      </c>
      <c r="E879" s="282" t="e">
        <f>VLOOKUP(C879,Stock_list!D:L,9,FALSE)</f>
        <v>#N/A</v>
      </c>
      <c r="F879" s="170" t="s">
        <v>227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272</v>
      </c>
      <c r="B880" s="114" t="str">
        <f>VLOOKUP(A880,'Data pick slip'!B:F,5,FALSE)</f>
        <v>KLJ-MC100-00</v>
      </c>
      <c r="C880" s="169">
        <v>110868</v>
      </c>
      <c r="D880" s="169" t="e">
        <f>VLOOKUP(C880,Stock_list!D:L,2,FALSE)</f>
        <v>#N/A</v>
      </c>
      <c r="E880" s="282" t="e">
        <f>VLOOKUP(C880,Stock_list!D:L,9,FALSE)</f>
        <v>#N/A</v>
      </c>
      <c r="F880" s="170" t="s">
        <v>227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273</v>
      </c>
      <c r="B881" s="114" t="str">
        <f>VLOOKUP(A881,'Data pick slip'!B:F,5,FALSE)</f>
        <v>KLJ-MC200-00</v>
      </c>
      <c r="C881" s="169">
        <v>110868</v>
      </c>
      <c r="D881" s="169" t="e">
        <f>VLOOKUP(C881,Stock_list!D:L,2,FALSE)</f>
        <v>#N/A</v>
      </c>
      <c r="E881" s="282" t="e">
        <f>VLOOKUP(C881,Stock_list!D:L,9,FALSE)</f>
        <v>#N/A</v>
      </c>
      <c r="F881" s="170" t="s">
        <v>227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272</v>
      </c>
      <c r="B882" s="114" t="str">
        <f>VLOOKUP(A882,'Data pick slip'!B:F,5,FALSE)</f>
        <v>KLJ-MC100-00</v>
      </c>
      <c r="C882" s="169">
        <v>110869</v>
      </c>
      <c r="D882" s="169" t="e">
        <f>VLOOKUP(C882,Stock_list!D:L,2,FALSE)</f>
        <v>#N/A</v>
      </c>
      <c r="E882" s="282" t="e">
        <f>VLOOKUP(C882,Stock_list!D:L,9,FALSE)</f>
        <v>#N/A</v>
      </c>
      <c r="F882" s="170" t="s">
        <v>227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273</v>
      </c>
      <c r="B883" s="114" t="str">
        <f>VLOOKUP(A883,'Data pick slip'!B:F,5,FALSE)</f>
        <v>KLJ-MC200-00</v>
      </c>
      <c r="C883" s="169">
        <v>110869</v>
      </c>
      <c r="D883" s="169" t="e">
        <f>VLOOKUP(C883,Stock_list!D:L,2,FALSE)</f>
        <v>#N/A</v>
      </c>
      <c r="E883" s="282" t="e">
        <f>VLOOKUP(C883,Stock_list!D:L,9,FALSE)</f>
        <v>#N/A</v>
      </c>
      <c r="F883" s="170" t="s">
        <v>227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</v>
      </c>
      <c r="B884" s="114" t="str">
        <f>VLOOKUP(A884,'Data pick slip'!B:F,5,FALSE)</f>
        <v>KLJ-MC500-00</v>
      </c>
      <c r="C884" s="169">
        <v>110869</v>
      </c>
      <c r="D884" s="169" t="e">
        <f>VLOOKUP(C884,Stock_list!D:L,2,FALSE)</f>
        <v>#N/A</v>
      </c>
      <c r="E884" s="282" t="e">
        <f>VLOOKUP(C884,Stock_list!D:L,9,FALSE)</f>
        <v>#N/A</v>
      </c>
      <c r="F884" s="170" t="s">
        <v>227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261</v>
      </c>
      <c r="B885" s="114" t="str">
        <f>VLOOKUP(A885,'Data pick slip'!B:F,5,FALSE)</f>
        <v>KHJ-MC100-00</v>
      </c>
      <c r="C885" s="169">
        <v>110870</v>
      </c>
      <c r="D885" s="169" t="e">
        <f>VLOOKUP(C885,Stock_list!D:L,2,FALSE)</f>
        <v>#N/A</v>
      </c>
      <c r="E885" s="282" t="e">
        <f>VLOOKUP(C885,Stock_list!D:L,9,FALSE)</f>
        <v>#N/A</v>
      </c>
      <c r="F885" s="170" t="s">
        <v>227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264</v>
      </c>
      <c r="B886" s="114" t="str">
        <f>VLOOKUP(A886,'Data pick slip'!B:F,5,FALSE)</f>
        <v>KHJ-MC200-00</v>
      </c>
      <c r="C886" s="169">
        <v>110870</v>
      </c>
      <c r="D886" s="169" t="e">
        <f>VLOOKUP(C886,Stock_list!D:L,2,FALSE)</f>
        <v>#N/A</v>
      </c>
      <c r="E886" s="282" t="e">
        <f>VLOOKUP(C886,Stock_list!D:L,9,FALSE)</f>
        <v>#N/A</v>
      </c>
      <c r="F886" s="170" t="s">
        <v>227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261</v>
      </c>
      <c r="B887" s="114" t="str">
        <f>VLOOKUP(A887,'Data pick slip'!B:F,5,FALSE)</f>
        <v>KHJ-MC100-00</v>
      </c>
      <c r="C887" s="169">
        <v>110871</v>
      </c>
      <c r="D887" s="169" t="e">
        <f>VLOOKUP(C887,Stock_list!D:L,2,FALSE)</f>
        <v>#N/A</v>
      </c>
      <c r="E887" s="282" t="e">
        <f>VLOOKUP(C887,Stock_list!D:L,9,FALSE)</f>
        <v>#N/A</v>
      </c>
      <c r="F887" s="170" t="s">
        <v>227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261</v>
      </c>
      <c r="B888" s="114" t="str">
        <f>VLOOKUP(A888,'Data pick slip'!B:F,5,FALSE)</f>
        <v>KHJ-MC100-00</v>
      </c>
      <c r="C888" s="169">
        <v>110872</v>
      </c>
      <c r="D888" s="169" t="e">
        <f>VLOOKUP(C888,Stock_list!D:L,2,FALSE)</f>
        <v>#N/A</v>
      </c>
      <c r="E888" s="282" t="e">
        <f>VLOOKUP(C888,Stock_list!D:L,9,FALSE)</f>
        <v>#N/A</v>
      </c>
      <c r="F888" s="170" t="s">
        <v>227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264</v>
      </c>
      <c r="B889" s="114" t="str">
        <f>VLOOKUP(A889,'Data pick slip'!B:F,5,FALSE)</f>
        <v>KHJ-MC200-00</v>
      </c>
      <c r="C889" s="169">
        <v>110872</v>
      </c>
      <c r="D889" s="169" t="e">
        <f>VLOOKUP(C889,Stock_list!D:L,2,FALSE)</f>
        <v>#N/A</v>
      </c>
      <c r="E889" s="282" t="e">
        <f>VLOOKUP(C889,Stock_list!D:L,9,FALSE)</f>
        <v>#N/A</v>
      </c>
      <c r="F889" s="170" t="s">
        <v>227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261</v>
      </c>
      <c r="B890" s="114" t="str">
        <f>VLOOKUP(A890,'Data pick slip'!B:F,5,FALSE)</f>
        <v>KHJ-MC100-00</v>
      </c>
      <c r="C890" s="169">
        <v>110873</v>
      </c>
      <c r="D890" s="169" t="e">
        <f>VLOOKUP(C890,Stock_list!D:L,2,FALSE)</f>
        <v>#N/A</v>
      </c>
      <c r="E890" s="282" t="e">
        <f>VLOOKUP(C890,Stock_list!D:L,9,FALSE)</f>
        <v>#N/A</v>
      </c>
      <c r="F890" s="170" t="s">
        <v>227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264</v>
      </c>
      <c r="B891" s="114" t="str">
        <f>VLOOKUP(A891,'Data pick slip'!B:F,5,FALSE)</f>
        <v>KHJ-MC200-00</v>
      </c>
      <c r="C891" s="169">
        <v>110873</v>
      </c>
      <c r="D891" s="169" t="e">
        <f>VLOOKUP(C891,Stock_list!D:L,2,FALSE)</f>
        <v>#N/A</v>
      </c>
      <c r="E891" s="282" t="e">
        <f>VLOOKUP(C891,Stock_list!D:L,9,FALSE)</f>
        <v>#N/A</v>
      </c>
      <c r="F891" s="170" t="s">
        <v>227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261</v>
      </c>
      <c r="B892" s="114" t="str">
        <f>VLOOKUP(A892,'Data pick slip'!B:F,5,FALSE)</f>
        <v>KHJ-MC100-00</v>
      </c>
      <c r="C892" s="169">
        <v>110875</v>
      </c>
      <c r="D892" s="169" t="e">
        <f>VLOOKUP(C892,Stock_list!D:L,2,FALSE)</f>
        <v>#N/A</v>
      </c>
      <c r="E892" s="282" t="e">
        <f>VLOOKUP(C892,Stock_list!D:L,9,FALSE)</f>
        <v>#N/A</v>
      </c>
      <c r="F892" s="170" t="s">
        <v>227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264</v>
      </c>
      <c r="B893" s="114" t="str">
        <f>VLOOKUP(A893,'Data pick slip'!B:F,5,FALSE)</f>
        <v>KHJ-MC200-00</v>
      </c>
      <c r="C893" s="169">
        <v>110875</v>
      </c>
      <c r="D893" s="169" t="e">
        <f>VLOOKUP(C893,Stock_list!D:L,2,FALSE)</f>
        <v>#N/A</v>
      </c>
      <c r="E893" s="282" t="e">
        <f>VLOOKUP(C893,Stock_list!D:L,9,FALSE)</f>
        <v>#N/A</v>
      </c>
      <c r="F893" s="170" t="s">
        <v>227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261</v>
      </c>
      <c r="B894" s="114" t="str">
        <f>VLOOKUP(A894,'Data pick slip'!B:F,5,FALSE)</f>
        <v>KHJ-MC100-00</v>
      </c>
      <c r="C894" s="169">
        <v>110874</v>
      </c>
      <c r="D894" s="169" t="e">
        <f>VLOOKUP(C894,Stock_list!D:L,2,FALSE)</f>
        <v>#N/A</v>
      </c>
      <c r="E894" s="282" t="e">
        <f>VLOOKUP(C894,Stock_list!D:L,9,FALSE)</f>
        <v>#N/A</v>
      </c>
      <c r="F894" s="170" t="s">
        <v>227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265</v>
      </c>
      <c r="B895" s="114" t="str">
        <f>VLOOKUP(A895,'Data pick slip'!B:F,5,FALSE)</f>
        <v>KHJ-MC400-00</v>
      </c>
      <c r="C895" s="169">
        <v>110874</v>
      </c>
      <c r="D895" s="169" t="e">
        <f>VLOOKUP(C895,Stock_list!D:L,2,FALSE)</f>
        <v>#N/A</v>
      </c>
      <c r="E895" s="282" t="e">
        <f>VLOOKUP(C895,Stock_list!D:L,9,FALSE)</f>
        <v>#N/A</v>
      </c>
      <c r="F895" s="170" t="s">
        <v>227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261</v>
      </c>
      <c r="B896" s="114" t="str">
        <f>VLOOKUP(A896,'Data pick slip'!B:F,5,FALSE)</f>
        <v>KHJ-MC100-00</v>
      </c>
      <c r="C896" s="169">
        <v>110883</v>
      </c>
      <c r="D896" s="169" t="e">
        <f>VLOOKUP(C896,Stock_list!D:L,2,FALSE)</f>
        <v>#N/A</v>
      </c>
      <c r="E896" s="282" t="e">
        <f>VLOOKUP(C896,Stock_list!D:L,9,FALSE)</f>
        <v>#N/A</v>
      </c>
      <c r="F896" s="170" t="s">
        <v>227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264</v>
      </c>
      <c r="B897" s="114" t="str">
        <f>VLOOKUP(A897,'Data pick slip'!B:F,5,FALSE)</f>
        <v>KHJ-MC200-00</v>
      </c>
      <c r="C897" s="169">
        <v>110883</v>
      </c>
      <c r="D897" s="169" t="e">
        <f>VLOOKUP(C897,Stock_list!D:L,2,FALSE)</f>
        <v>#N/A</v>
      </c>
      <c r="E897" s="282" t="e">
        <f>VLOOKUP(C897,Stock_list!D:L,9,FALSE)</f>
        <v>#N/A</v>
      </c>
      <c r="F897" s="170" t="s">
        <v>227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261</v>
      </c>
      <c r="B898" s="114" t="str">
        <f>VLOOKUP(A898,'Data pick slip'!B:F,5,FALSE)</f>
        <v>KHJ-MC100-00</v>
      </c>
      <c r="C898" s="169"/>
      <c r="D898" s="169"/>
      <c r="E898" s="282" t="s">
        <v>493</v>
      </c>
      <c r="F898" s="170" t="s">
        <v>270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264</v>
      </c>
      <c r="B899" s="114" t="str">
        <f>VLOOKUP(A899,'Data pick slip'!B:F,5,FALSE)</f>
        <v>KHJ-MC200-00</v>
      </c>
      <c r="C899" s="169"/>
      <c r="D899" s="169"/>
      <c r="E899" s="282" t="s">
        <v>493</v>
      </c>
      <c r="F899" s="170" t="s">
        <v>270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265</v>
      </c>
      <c r="B900" s="114" t="str">
        <f>VLOOKUP(A900,'Data pick slip'!B:F,5,FALSE)</f>
        <v>KHJ-MC400-00</v>
      </c>
      <c r="C900" s="169"/>
      <c r="D900" s="169"/>
      <c r="E900" s="282" t="s">
        <v>493</v>
      </c>
      <c r="F900" s="170" t="s">
        <v>270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267</v>
      </c>
      <c r="B901" s="114" t="str">
        <f>VLOOKUP(A901,'Data pick slip'!B:F,5,FALSE)</f>
        <v>KHJ-MC600-00</v>
      </c>
      <c r="C901" s="169"/>
      <c r="D901" s="169"/>
      <c r="E901" s="282" t="s">
        <v>493</v>
      </c>
      <c r="F901" s="170" t="s">
        <v>270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268</v>
      </c>
      <c r="B902" s="114" t="str">
        <f>VLOOKUP(A902,'Data pick slip'!B:F,5,FALSE)</f>
        <v>KHJ-MC700-00</v>
      </c>
      <c r="C902" s="169"/>
      <c r="D902" s="169"/>
      <c r="E902" s="282" t="s">
        <v>493</v>
      </c>
      <c r="F902" s="170" t="s">
        <v>270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261</v>
      </c>
      <c r="B903" s="114" t="str">
        <f>VLOOKUP(A903,'Data pick slip'!B:F,5,FALSE)</f>
        <v>KHJ-MC100-00</v>
      </c>
      <c r="C903" s="169">
        <v>110519</v>
      </c>
      <c r="D903" s="169" t="e">
        <f>VLOOKUP(C903,Stock_list!D:L,2,FALSE)</f>
        <v>#N/A</v>
      </c>
      <c r="E903" s="282" t="e">
        <f>VLOOKUP(C903,Stock_list!D:L,9,FALSE)</f>
        <v>#N/A</v>
      </c>
      <c r="F903" s="170" t="s">
        <v>227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261</v>
      </c>
      <c r="B904" s="114" t="str">
        <f>VLOOKUP(A904,'Data pick slip'!B:F,5,FALSE)</f>
        <v>KHJ-MC100-00</v>
      </c>
      <c r="C904" s="169" t="s">
        <v>494</v>
      </c>
      <c r="D904" s="312" t="s">
        <v>495</v>
      </c>
      <c r="E904" s="282" t="s">
        <v>496</v>
      </c>
      <c r="F904" s="170" t="s">
        <v>497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264</v>
      </c>
      <c r="B905" s="114" t="str">
        <f>VLOOKUP(A905,'Data pick slip'!B:F,5,FALSE)</f>
        <v>KHJ-MC200-00</v>
      </c>
      <c r="C905" s="169" t="s">
        <v>494</v>
      </c>
      <c r="D905" s="312" t="s">
        <v>495</v>
      </c>
      <c r="E905" s="282" t="s">
        <v>496</v>
      </c>
      <c r="F905" s="170" t="s">
        <v>497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265</v>
      </c>
      <c r="B906" s="114" t="str">
        <f>VLOOKUP(A906,'Data pick slip'!B:F,5,FALSE)</f>
        <v>KHJ-MC400-00</v>
      </c>
      <c r="C906" s="169" t="s">
        <v>494</v>
      </c>
      <c r="D906" s="312" t="s">
        <v>495</v>
      </c>
      <c r="E906" s="282" t="s">
        <v>496</v>
      </c>
      <c r="F906" s="170" t="s">
        <v>497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266</v>
      </c>
      <c r="B907" s="114" t="str">
        <f>VLOOKUP(A907,'Data pick slip'!B:F,5,FALSE)</f>
        <v>KHJ-MC500-00</v>
      </c>
      <c r="C907" s="169" t="s">
        <v>494</v>
      </c>
      <c r="D907" s="312" t="s">
        <v>495</v>
      </c>
      <c r="E907" s="282" t="s">
        <v>496</v>
      </c>
      <c r="F907" s="170" t="s">
        <v>497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267</v>
      </c>
      <c r="B908" s="114" t="str">
        <f>VLOOKUP(A908,'Data pick slip'!B:F,5,FALSE)</f>
        <v>KHJ-MC600-00</v>
      </c>
      <c r="C908" s="169" t="s">
        <v>494</v>
      </c>
      <c r="D908" s="312" t="s">
        <v>495</v>
      </c>
      <c r="E908" s="282" t="s">
        <v>496</v>
      </c>
      <c r="F908" s="170" t="s">
        <v>497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268</v>
      </c>
      <c r="B909" s="114" t="str">
        <f>VLOOKUP(A909,'Data pick slip'!B:F,5,FALSE)</f>
        <v>KHJ-MC700-00</v>
      </c>
      <c r="C909" s="169" t="s">
        <v>494</v>
      </c>
      <c r="D909" s="312" t="s">
        <v>495</v>
      </c>
      <c r="E909" s="282" t="s">
        <v>496</v>
      </c>
      <c r="F909" s="170" t="s">
        <v>497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261</v>
      </c>
      <c r="B910" s="114" t="str">
        <f>VLOOKUP(A910,'Data pick slip'!B:F,5,FALSE)</f>
        <v>KHJ-MC100-00</v>
      </c>
      <c r="C910" s="169"/>
      <c r="D910" s="169"/>
      <c r="E910" s="282" t="s">
        <v>498</v>
      </c>
      <c r="F910" s="170" t="s">
        <v>270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264</v>
      </c>
      <c r="B911" s="114" t="str">
        <f>VLOOKUP(A911,'Data pick slip'!B:F,5,FALSE)</f>
        <v>KHJ-MC200-00</v>
      </c>
      <c r="C911" s="169"/>
      <c r="D911" s="169"/>
      <c r="E911" s="282" t="s">
        <v>498</v>
      </c>
      <c r="F911" s="170" t="s">
        <v>270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261</v>
      </c>
      <c r="B912" s="114" t="str">
        <f>VLOOKUP(A912,'Data pick slip'!B:F,5,FALSE)</f>
        <v>KHJ-MC100-00</v>
      </c>
      <c r="C912" s="169"/>
      <c r="D912" s="169"/>
      <c r="E912" s="282" t="s">
        <v>499</v>
      </c>
      <c r="F912" s="170" t="s">
        <v>270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274</v>
      </c>
      <c r="B913" s="114" t="str">
        <f>VLOOKUP(A913,'Data pick slip'!B:F,5,FALSE)</f>
        <v>KLJ-MC400-00</v>
      </c>
      <c r="C913" s="169"/>
      <c r="D913" s="169"/>
      <c r="E913" s="282" t="s">
        <v>499</v>
      </c>
      <c r="F913" s="170" t="s">
        <v>270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268</v>
      </c>
      <c r="B914" s="114" t="str">
        <f>VLOOKUP(A914,'Data pick slip'!B:F,5,FALSE)</f>
        <v>KHJ-MC700-00</v>
      </c>
      <c r="C914" s="169"/>
      <c r="D914" s="169"/>
      <c r="E914" s="282" t="s">
        <v>499</v>
      </c>
      <c r="F914" s="170" t="s">
        <v>270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269</v>
      </c>
      <c r="B915" s="114" t="str">
        <f>VLOOKUP(A915,'Data pick slip'!B:F,5,FALSE)</f>
        <v>KHJ-MC800-00</v>
      </c>
      <c r="C915" s="169"/>
      <c r="D915" s="169"/>
      <c r="E915" s="282" t="s">
        <v>499</v>
      </c>
      <c r="F915" s="170" t="s">
        <v>270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261</v>
      </c>
      <c r="B916" s="114" t="str">
        <f>VLOOKUP(A916,'Data pick slip'!B:F,5,FALSE)</f>
        <v>KHJ-MC100-00</v>
      </c>
      <c r="C916" s="169">
        <v>110915</v>
      </c>
      <c r="D916" s="169" t="e">
        <f>VLOOKUP(C916,Stock_list!D:L,2,FALSE)</f>
        <v>#N/A</v>
      </c>
      <c r="E916" s="282" t="e">
        <f>VLOOKUP(C916,Stock_list!D:L,9,FALSE)</f>
        <v>#N/A</v>
      </c>
      <c r="F916" s="170" t="s">
        <v>227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264</v>
      </c>
      <c r="B917" s="114" t="str">
        <f>VLOOKUP(A917,'Data pick slip'!B:F,5,FALSE)</f>
        <v>KHJ-MC200-00</v>
      </c>
      <c r="C917" s="169">
        <v>110915</v>
      </c>
      <c r="D917" s="169" t="e">
        <f>VLOOKUP(C917,Stock_list!D:L,2,FALSE)</f>
        <v>#N/A</v>
      </c>
      <c r="E917" s="282" t="e">
        <f>VLOOKUP(C917,Stock_list!D:L,9,FALSE)</f>
        <v>#N/A</v>
      </c>
      <c r="F917" s="170" t="s">
        <v>227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265</v>
      </c>
      <c r="B918" s="114" t="str">
        <f>VLOOKUP(A918,'Data pick slip'!B:F,5,FALSE)</f>
        <v>KHJ-MC400-00</v>
      </c>
      <c r="C918" s="169">
        <v>110915</v>
      </c>
      <c r="D918" s="169" t="e">
        <f>VLOOKUP(C918,Stock_list!D:L,2,FALSE)</f>
        <v>#N/A</v>
      </c>
      <c r="E918" s="282" t="e">
        <f>VLOOKUP(C918,Stock_list!D:L,9,FALSE)</f>
        <v>#N/A</v>
      </c>
      <c r="F918" s="170" t="s">
        <v>227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266</v>
      </c>
      <c r="B919" s="114" t="str">
        <f>VLOOKUP(A919,'Data pick slip'!B:F,5,FALSE)</f>
        <v>KHJ-MC500-00</v>
      </c>
      <c r="C919" s="169">
        <v>110915</v>
      </c>
      <c r="D919" s="169" t="e">
        <f>VLOOKUP(C919,Stock_list!D:L,2,FALSE)</f>
        <v>#N/A</v>
      </c>
      <c r="E919" s="282" t="e">
        <f>VLOOKUP(C919,Stock_list!D:L,9,FALSE)</f>
        <v>#N/A</v>
      </c>
      <c r="F919" s="170" t="s">
        <v>227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267</v>
      </c>
      <c r="B920" s="114" t="str">
        <f>VLOOKUP(A920,'Data pick slip'!B:F,5,FALSE)</f>
        <v>KHJ-MC600-00</v>
      </c>
      <c r="C920" s="169">
        <v>110915</v>
      </c>
      <c r="D920" s="169" t="e">
        <f>VLOOKUP(C920,Stock_list!D:L,2,FALSE)</f>
        <v>#N/A</v>
      </c>
      <c r="E920" s="282" t="e">
        <f>VLOOKUP(C920,Stock_list!D:L,9,FALSE)</f>
        <v>#N/A</v>
      </c>
      <c r="F920" s="170" t="s">
        <v>227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268</v>
      </c>
      <c r="B921" s="114" t="str">
        <f>VLOOKUP(A921,'Data pick slip'!B:F,5,FALSE)</f>
        <v>KHJ-MC700-00</v>
      </c>
      <c r="C921" s="169">
        <v>110915</v>
      </c>
      <c r="D921" s="169" t="e">
        <f>VLOOKUP(C921,Stock_list!D:L,2,FALSE)</f>
        <v>#N/A</v>
      </c>
      <c r="E921" s="282" t="e">
        <f>VLOOKUP(C921,Stock_list!D:L,9,FALSE)</f>
        <v>#N/A</v>
      </c>
      <c r="F921" s="170" t="s">
        <v>227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261</v>
      </c>
      <c r="B922" s="114" t="str">
        <f>VLOOKUP(A922,'Data pick slip'!B:F,5,FALSE)</f>
        <v>KHJ-MC100-00</v>
      </c>
      <c r="C922" s="169">
        <v>110916</v>
      </c>
      <c r="D922" s="169" t="e">
        <f>VLOOKUP(C922,Stock_list!D:L,2,FALSE)</f>
        <v>#N/A</v>
      </c>
      <c r="E922" s="282" t="e">
        <f>VLOOKUP(C922,Stock_list!D:L,9,FALSE)</f>
        <v>#N/A</v>
      </c>
      <c r="F922" s="170" t="s">
        <v>227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264</v>
      </c>
      <c r="B923" s="114" t="str">
        <f>VLOOKUP(A923,'Data pick slip'!B:F,5,FALSE)</f>
        <v>KHJ-MC200-00</v>
      </c>
      <c r="C923" s="169">
        <v>110916</v>
      </c>
      <c r="D923" s="169" t="e">
        <f>VLOOKUP(C923,Stock_list!D:L,2,FALSE)</f>
        <v>#N/A</v>
      </c>
      <c r="E923" s="282" t="e">
        <f>VLOOKUP(C923,Stock_list!D:L,9,FALSE)</f>
        <v>#N/A</v>
      </c>
      <c r="F923" s="170" t="s">
        <v>227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265</v>
      </c>
      <c r="B924" s="114" t="str">
        <f>VLOOKUP(A924,'Data pick slip'!B:F,5,FALSE)</f>
        <v>KHJ-MC400-00</v>
      </c>
      <c r="C924" s="169">
        <v>110916</v>
      </c>
      <c r="D924" s="169" t="e">
        <f>VLOOKUP(C924,Stock_list!D:L,2,FALSE)</f>
        <v>#N/A</v>
      </c>
      <c r="E924" s="282" t="e">
        <f>VLOOKUP(C924,Stock_list!D:L,9,FALSE)</f>
        <v>#N/A</v>
      </c>
      <c r="F924" s="170" t="s">
        <v>227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266</v>
      </c>
      <c r="B925" s="114" t="str">
        <f>VLOOKUP(A925,'Data pick slip'!B:F,5,FALSE)</f>
        <v>KHJ-MC500-00</v>
      </c>
      <c r="C925" s="169">
        <v>110916</v>
      </c>
      <c r="D925" s="169" t="e">
        <f>VLOOKUP(C925,Stock_list!D:L,2,FALSE)</f>
        <v>#N/A</v>
      </c>
      <c r="E925" s="282" t="e">
        <f>VLOOKUP(C925,Stock_list!D:L,9,FALSE)</f>
        <v>#N/A</v>
      </c>
      <c r="F925" s="170" t="s">
        <v>227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261</v>
      </c>
      <c r="B926" s="114" t="str">
        <f>VLOOKUP(A926,'Data pick slip'!B:F,5,FALSE)</f>
        <v>KHJ-MC100-00</v>
      </c>
      <c r="C926" s="169">
        <v>110917</v>
      </c>
      <c r="D926" s="169" t="e">
        <f>VLOOKUP(C926,Stock_list!D:L,2,FALSE)</f>
        <v>#N/A</v>
      </c>
      <c r="E926" s="282" t="e">
        <f>VLOOKUP(C926,Stock_list!D:L,9,FALSE)</f>
        <v>#N/A</v>
      </c>
      <c r="F926" s="170" t="s">
        <v>227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264</v>
      </c>
      <c r="B927" s="114" t="str">
        <f>VLOOKUP(A927,'Data pick slip'!B:F,5,FALSE)</f>
        <v>KHJ-MC200-00</v>
      </c>
      <c r="C927" s="169">
        <v>110917</v>
      </c>
      <c r="D927" s="169" t="e">
        <f>VLOOKUP(C927,Stock_list!D:L,2,FALSE)</f>
        <v>#N/A</v>
      </c>
      <c r="E927" s="282" t="e">
        <f>VLOOKUP(C927,Stock_list!D:L,9,FALSE)</f>
        <v>#N/A</v>
      </c>
      <c r="F927" s="170" t="s">
        <v>227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265</v>
      </c>
      <c r="B928" s="114" t="str">
        <f>VLOOKUP(A928,'Data pick slip'!B:F,5,FALSE)</f>
        <v>KHJ-MC400-00</v>
      </c>
      <c r="C928" s="169">
        <v>110917</v>
      </c>
      <c r="D928" s="169" t="e">
        <f>VLOOKUP(C928,Stock_list!D:L,2,FALSE)</f>
        <v>#N/A</v>
      </c>
      <c r="E928" s="282" t="e">
        <f>VLOOKUP(C928,Stock_list!D:L,9,FALSE)</f>
        <v>#N/A</v>
      </c>
      <c r="F928" s="170" t="s">
        <v>227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261</v>
      </c>
      <c r="B929" s="114" t="str">
        <f>VLOOKUP(A929,'Data pick slip'!B:F,5,FALSE)</f>
        <v>KHJ-MC100-00</v>
      </c>
      <c r="C929" s="169">
        <v>110919</v>
      </c>
      <c r="D929" s="169" t="e">
        <f>VLOOKUP(C929,Stock_list!D:L,2,FALSE)</f>
        <v>#N/A</v>
      </c>
      <c r="E929" s="282" t="e">
        <f>VLOOKUP(C929,Stock_list!D:L,9,FALSE)</f>
        <v>#N/A</v>
      </c>
      <c r="F929" s="170" t="s">
        <v>227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264</v>
      </c>
      <c r="B930" s="114" t="str">
        <f>VLOOKUP(A930,'Data pick slip'!B:F,5,FALSE)</f>
        <v>KHJ-MC200-00</v>
      </c>
      <c r="C930" s="169">
        <v>110919</v>
      </c>
      <c r="D930" s="169" t="e">
        <f>VLOOKUP(C930,Stock_list!D:L,2,FALSE)</f>
        <v>#N/A</v>
      </c>
      <c r="E930" s="282" t="e">
        <f>VLOOKUP(C930,Stock_list!D:L,9,FALSE)</f>
        <v>#N/A</v>
      </c>
      <c r="F930" s="170" t="s">
        <v>227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272</v>
      </c>
      <c r="B931" s="114" t="str">
        <f>VLOOKUP(A931,'Data pick slip'!B:F,5,FALSE)</f>
        <v>KLJ-MC100-00</v>
      </c>
      <c r="C931" s="169">
        <v>110919</v>
      </c>
      <c r="D931" s="169" t="e">
        <f>VLOOKUP(C931,Stock_list!D:L,2,FALSE)</f>
        <v>#N/A</v>
      </c>
      <c r="E931" s="282" t="e">
        <f>VLOOKUP(C931,Stock_list!D:L,9,FALSE)</f>
        <v>#N/A</v>
      </c>
      <c r="F931" s="170" t="s">
        <v>227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273</v>
      </c>
      <c r="B932" s="114" t="str">
        <f>VLOOKUP(A932,'Data pick slip'!B:F,5,FALSE)</f>
        <v>KLJ-MC200-00</v>
      </c>
      <c r="C932" s="169">
        <v>110919</v>
      </c>
      <c r="D932" s="169" t="e">
        <f>VLOOKUP(C932,Stock_list!D:L,2,FALSE)</f>
        <v>#N/A</v>
      </c>
      <c r="E932" s="282" t="e">
        <f>VLOOKUP(C932,Stock_list!D:L,9,FALSE)</f>
        <v>#N/A</v>
      </c>
      <c r="F932" s="170" t="s">
        <v>227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261</v>
      </c>
      <c r="B933" s="114" t="str">
        <f>VLOOKUP(A933,'Data pick slip'!B:F,5,FALSE)</f>
        <v>KHJ-MC100-00</v>
      </c>
      <c r="C933" s="169">
        <v>110918</v>
      </c>
      <c r="D933" s="169" t="e">
        <f>VLOOKUP(C933,Stock_list!D:L,2,FALSE)</f>
        <v>#N/A</v>
      </c>
      <c r="E933" s="282" t="e">
        <f>VLOOKUP(C933,Stock_list!D:L,9,FALSE)</f>
        <v>#N/A</v>
      </c>
      <c r="F933" s="170" t="s">
        <v>227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264</v>
      </c>
      <c r="B934" s="114" t="str">
        <f>VLOOKUP(A934,'Data pick slip'!B:F,5,FALSE)</f>
        <v>KHJ-MC200-00</v>
      </c>
      <c r="C934" s="169">
        <v>110918</v>
      </c>
      <c r="D934" s="169" t="e">
        <f>VLOOKUP(C934,Stock_list!D:L,2,FALSE)</f>
        <v>#N/A</v>
      </c>
      <c r="E934" s="282" t="e">
        <f>VLOOKUP(C934,Stock_list!D:L,9,FALSE)</f>
        <v>#N/A</v>
      </c>
      <c r="F934" s="170" t="s">
        <v>227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261</v>
      </c>
      <c r="B935" s="114" t="str">
        <f>VLOOKUP(A935,'Data pick slip'!B:F,5,FALSE)</f>
        <v>KHJ-MC100-00</v>
      </c>
      <c r="C935" s="169">
        <v>110924</v>
      </c>
      <c r="D935" s="169" t="e">
        <f>VLOOKUP(C935,Stock_list!D:L,2,FALSE)</f>
        <v>#N/A</v>
      </c>
      <c r="E935" s="282" t="e">
        <f>VLOOKUP(C935,Stock_list!D:L,9,FALSE)</f>
        <v>#N/A</v>
      </c>
      <c r="F935" s="170" t="s">
        <v>227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261</v>
      </c>
      <c r="B936" s="114" t="str">
        <f>VLOOKUP(A936,'Data pick slip'!B:F,5,FALSE)</f>
        <v>KHJ-MC100-00</v>
      </c>
      <c r="C936" s="169">
        <v>110923</v>
      </c>
      <c r="D936" s="169" t="e">
        <f>VLOOKUP(C936,Stock_list!D:L,2,FALSE)</f>
        <v>#N/A</v>
      </c>
      <c r="E936" s="282" t="e">
        <f>VLOOKUP(C936,Stock_list!D:L,9,FALSE)</f>
        <v>#N/A</v>
      </c>
      <c r="F936" s="170" t="s">
        <v>227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264</v>
      </c>
      <c r="B937" s="114" t="str">
        <f>VLOOKUP(A937,'Data pick slip'!B:F,5,FALSE)</f>
        <v>KHJ-MC200-00</v>
      </c>
      <c r="C937" s="169">
        <v>110923</v>
      </c>
      <c r="D937" s="169" t="e">
        <f>VLOOKUP(C937,Stock_list!D:L,2,FALSE)</f>
        <v>#N/A</v>
      </c>
      <c r="E937" s="282" t="e">
        <f>VLOOKUP(C937,Stock_list!D:L,9,FALSE)</f>
        <v>#N/A</v>
      </c>
      <c r="F937" s="170" t="s">
        <v>227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261</v>
      </c>
      <c r="B938" s="114" t="str">
        <f>VLOOKUP(A938,'Data pick slip'!B:F,5,FALSE)</f>
        <v>KHJ-MC100-00</v>
      </c>
      <c r="C938" s="169">
        <v>110922</v>
      </c>
      <c r="D938" s="169" t="e">
        <f>VLOOKUP(C938,Stock_list!D:L,2,FALSE)</f>
        <v>#N/A</v>
      </c>
      <c r="E938" s="282" t="e">
        <f>VLOOKUP(C938,Stock_list!D:L,9,FALSE)</f>
        <v>#N/A</v>
      </c>
      <c r="F938" s="170" t="s">
        <v>227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264</v>
      </c>
      <c r="B939" s="114" t="str">
        <f>VLOOKUP(A939,'Data pick slip'!B:F,5,FALSE)</f>
        <v>KHJ-MC200-00</v>
      </c>
      <c r="C939" s="169">
        <v>110922</v>
      </c>
      <c r="D939" s="169" t="e">
        <f>VLOOKUP(C939,Stock_list!D:L,2,FALSE)</f>
        <v>#N/A</v>
      </c>
      <c r="E939" s="282" t="e">
        <f>VLOOKUP(C939,Stock_list!D:L,9,FALSE)</f>
        <v>#N/A</v>
      </c>
      <c r="F939" s="170" t="s">
        <v>227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272</v>
      </c>
      <c r="B940" s="114" t="str">
        <f>VLOOKUP(A940,'Data pick slip'!B:F,5,FALSE)</f>
        <v>KLJ-MC100-00</v>
      </c>
      <c r="C940" s="169">
        <v>110922</v>
      </c>
      <c r="D940" s="169" t="e">
        <f>VLOOKUP(C940,Stock_list!D:L,2,FALSE)</f>
        <v>#N/A</v>
      </c>
      <c r="E940" s="282" t="e">
        <f>VLOOKUP(C940,Stock_list!D:L,9,FALSE)</f>
        <v>#N/A</v>
      </c>
      <c r="F940" s="170" t="s">
        <v>227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273</v>
      </c>
      <c r="B941" s="114" t="str">
        <f>VLOOKUP(A941,'Data pick slip'!B:F,5,FALSE)</f>
        <v>KLJ-MC200-00</v>
      </c>
      <c r="C941" s="169">
        <v>110922</v>
      </c>
      <c r="D941" s="169" t="e">
        <f>VLOOKUP(C941,Stock_list!D:L,2,FALSE)</f>
        <v>#N/A</v>
      </c>
      <c r="E941" s="282" t="e">
        <f>VLOOKUP(C941,Stock_list!D:L,9,FALSE)</f>
        <v>#N/A</v>
      </c>
      <c r="F941" s="170" t="s">
        <v>227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261</v>
      </c>
      <c r="B942" s="114" t="str">
        <f>VLOOKUP(A942,'Data pick slip'!B:F,5,FALSE)</f>
        <v>KHJ-MC100-00</v>
      </c>
      <c r="C942" s="169">
        <v>110921</v>
      </c>
      <c r="D942" s="169" t="e">
        <f>VLOOKUP(C942,Stock_list!D:L,2,FALSE)</f>
        <v>#N/A</v>
      </c>
      <c r="E942" s="282" t="e">
        <f>VLOOKUP(C942,Stock_list!D:L,9,FALSE)</f>
        <v>#N/A</v>
      </c>
      <c r="F942" s="170" t="s">
        <v>227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261</v>
      </c>
      <c r="B943" s="114" t="str">
        <f>VLOOKUP(A943,'Data pick slip'!B:F,5,FALSE)</f>
        <v>KHJ-MC100-00</v>
      </c>
      <c r="C943" s="169">
        <v>110920</v>
      </c>
      <c r="D943" s="169" t="e">
        <f>VLOOKUP(C943,Stock_list!D:L,2,FALSE)</f>
        <v>#N/A</v>
      </c>
      <c r="E943" s="282" t="e">
        <f>VLOOKUP(C943,Stock_list!D:L,9,FALSE)</f>
        <v>#N/A</v>
      </c>
      <c r="F943" s="170" t="s">
        <v>227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264</v>
      </c>
      <c r="B944" s="114" t="str">
        <f>VLOOKUP(A944,'Data pick slip'!B:F,5,FALSE)</f>
        <v>KHJ-MC200-00</v>
      </c>
      <c r="C944" s="169">
        <v>110920</v>
      </c>
      <c r="D944" s="169" t="e">
        <f>VLOOKUP(C944,Stock_list!D:L,2,FALSE)</f>
        <v>#N/A</v>
      </c>
      <c r="E944" s="282" t="e">
        <f>VLOOKUP(C944,Stock_list!D:L,9,FALSE)</f>
        <v>#N/A</v>
      </c>
      <c r="F944" s="170" t="s">
        <v>227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271</v>
      </c>
      <c r="B945" s="114" t="str">
        <f>VLOOKUP(A945,'Data pick slip'!B:F,5,FALSE)</f>
        <v>KLJ-MCN00-20</v>
      </c>
      <c r="C945" s="169">
        <v>110928</v>
      </c>
      <c r="D945" s="169" t="e">
        <f>VLOOKUP(C945,Stock_list!D:L,2,FALSE)</f>
        <v>#N/A</v>
      </c>
      <c r="E945" s="282" t="e">
        <f>VLOOKUP(C945,Stock_list!D:L,9,FALSE)</f>
        <v>#N/A</v>
      </c>
      <c r="F945" s="170" t="s">
        <v>497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261</v>
      </c>
      <c r="B946" s="114" t="str">
        <f>VLOOKUP(A946,'Data pick slip'!B:F,5,FALSE)</f>
        <v>KHJ-MC100-00</v>
      </c>
      <c r="C946" s="169">
        <v>110928</v>
      </c>
      <c r="D946" s="169" t="e">
        <f>VLOOKUP(C946,Stock_list!D:L,2,FALSE)</f>
        <v>#N/A</v>
      </c>
      <c r="E946" s="282" t="e">
        <f>VLOOKUP(C946,Stock_list!D:L,9,FALSE)</f>
        <v>#N/A</v>
      </c>
      <c r="F946" s="170" t="s">
        <v>497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264</v>
      </c>
      <c r="B947" s="114" t="str">
        <f>VLOOKUP(A947,'Data pick slip'!B:F,5,FALSE)</f>
        <v>KHJ-MC200-00</v>
      </c>
      <c r="C947" s="169">
        <v>110928</v>
      </c>
      <c r="D947" s="169" t="e">
        <f>VLOOKUP(C947,Stock_list!D:L,2,FALSE)</f>
        <v>#N/A</v>
      </c>
      <c r="E947" s="282" t="e">
        <f>VLOOKUP(C947,Stock_list!D:L,9,FALSE)</f>
        <v>#N/A</v>
      </c>
      <c r="F947" s="170" t="s">
        <v>497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265</v>
      </c>
      <c r="B948" s="114" t="str">
        <f>VLOOKUP(A948,'Data pick slip'!B:F,5,FALSE)</f>
        <v>KHJ-MC400-00</v>
      </c>
      <c r="C948" s="169">
        <v>110928</v>
      </c>
      <c r="D948" s="169" t="e">
        <f>VLOOKUP(C948,Stock_list!D:L,2,FALSE)</f>
        <v>#N/A</v>
      </c>
      <c r="E948" s="282" t="e">
        <f>VLOOKUP(C948,Stock_list!D:L,9,FALSE)</f>
        <v>#N/A</v>
      </c>
      <c r="F948" s="170" t="s">
        <v>497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266</v>
      </c>
      <c r="B949" s="114" t="str">
        <f>VLOOKUP(A949,'Data pick slip'!B:F,5,FALSE)</f>
        <v>KHJ-MC500-00</v>
      </c>
      <c r="C949" s="169">
        <v>110928</v>
      </c>
      <c r="D949" s="169" t="e">
        <f>VLOOKUP(C949,Stock_list!D:L,2,FALSE)</f>
        <v>#N/A</v>
      </c>
      <c r="E949" s="282" t="e">
        <f>VLOOKUP(C949,Stock_list!D:L,9,FALSE)</f>
        <v>#N/A</v>
      </c>
      <c r="F949" s="170" t="s">
        <v>497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267</v>
      </c>
      <c r="B950" s="114" t="str">
        <f>VLOOKUP(A950,'Data pick slip'!B:F,5,FALSE)</f>
        <v>KHJ-MC600-00</v>
      </c>
      <c r="C950" s="169">
        <v>110928</v>
      </c>
      <c r="D950" s="169" t="e">
        <f>VLOOKUP(C950,Stock_list!D:L,2,FALSE)</f>
        <v>#N/A</v>
      </c>
      <c r="E950" s="282" t="e">
        <f>VLOOKUP(C950,Stock_list!D:L,9,FALSE)</f>
        <v>#N/A</v>
      </c>
      <c r="F950" s="170" t="s">
        <v>497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268</v>
      </c>
      <c r="B951" s="114" t="str">
        <f>VLOOKUP(A951,'Data pick slip'!B:F,5,FALSE)</f>
        <v>KHJ-MC700-00</v>
      </c>
      <c r="C951" s="169">
        <v>110928</v>
      </c>
      <c r="D951" s="169" t="e">
        <f>VLOOKUP(C951,Stock_list!D:L,2,FALSE)</f>
        <v>#N/A</v>
      </c>
      <c r="E951" s="282" t="e">
        <f>VLOOKUP(C951,Stock_list!D:L,9,FALSE)</f>
        <v>#N/A</v>
      </c>
      <c r="F951" s="170" t="s">
        <v>497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271</v>
      </c>
      <c r="B952" s="114" t="str">
        <f>VLOOKUP(A952,'Data pick slip'!B:F,5,FALSE)</f>
        <v>KLJ-MCN00-20</v>
      </c>
      <c r="C952" s="169">
        <v>110929</v>
      </c>
      <c r="D952" s="169" t="e">
        <f>VLOOKUP(C952,Stock_list!D:L,2,FALSE)</f>
        <v>#N/A</v>
      </c>
      <c r="E952" s="282" t="e">
        <f>VLOOKUP(C952,Stock_list!D:L,9,FALSE)</f>
        <v>#N/A</v>
      </c>
      <c r="F952" s="170" t="s">
        <v>497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261</v>
      </c>
      <c r="B953" s="114" t="str">
        <f>VLOOKUP(A953,'Data pick slip'!B:F,5,FALSE)</f>
        <v>KHJ-MC100-00</v>
      </c>
      <c r="C953" s="169">
        <v>110929</v>
      </c>
      <c r="D953" s="169" t="e">
        <f>VLOOKUP(C953,Stock_list!D:L,2,FALSE)</f>
        <v>#N/A</v>
      </c>
      <c r="E953" s="282" t="e">
        <f>VLOOKUP(C953,Stock_list!D:L,9,FALSE)</f>
        <v>#N/A</v>
      </c>
      <c r="F953" s="170" t="s">
        <v>497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264</v>
      </c>
      <c r="B954" s="114" t="str">
        <f>VLOOKUP(A954,'Data pick slip'!B:F,5,FALSE)</f>
        <v>KHJ-MC200-00</v>
      </c>
      <c r="C954" s="169">
        <v>110929</v>
      </c>
      <c r="D954" s="169" t="e">
        <f>VLOOKUP(C954,Stock_list!D:L,2,FALSE)</f>
        <v>#N/A</v>
      </c>
      <c r="E954" s="282" t="e">
        <f>VLOOKUP(C954,Stock_list!D:L,9,FALSE)</f>
        <v>#N/A</v>
      </c>
      <c r="F954" s="170" t="s">
        <v>497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265</v>
      </c>
      <c r="B955" s="114" t="str">
        <f>VLOOKUP(A955,'Data pick slip'!B:F,5,FALSE)</f>
        <v>KHJ-MC400-00</v>
      </c>
      <c r="C955" s="169">
        <v>110929</v>
      </c>
      <c r="D955" s="169" t="e">
        <f>VLOOKUP(C955,Stock_list!D:L,2,FALSE)</f>
        <v>#N/A</v>
      </c>
      <c r="E955" s="282" t="e">
        <f>VLOOKUP(C955,Stock_list!D:L,9,FALSE)</f>
        <v>#N/A</v>
      </c>
      <c r="F955" s="170" t="s">
        <v>497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266</v>
      </c>
      <c r="B956" s="114" t="str">
        <f>VLOOKUP(A956,'Data pick slip'!B:F,5,FALSE)</f>
        <v>KHJ-MC500-00</v>
      </c>
      <c r="C956" s="169">
        <v>110929</v>
      </c>
      <c r="D956" s="169" t="e">
        <f>VLOOKUP(C956,Stock_list!D:L,2,FALSE)</f>
        <v>#N/A</v>
      </c>
      <c r="E956" s="282" t="e">
        <f>VLOOKUP(C956,Stock_list!D:L,9,FALSE)</f>
        <v>#N/A</v>
      </c>
      <c r="F956" s="170" t="s">
        <v>497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261</v>
      </c>
      <c r="B957" s="114" t="str">
        <f>VLOOKUP(A957,'Data pick slip'!B:F,5,FALSE)</f>
        <v>KHJ-MC100-00</v>
      </c>
      <c r="C957" s="169">
        <v>110930</v>
      </c>
      <c r="D957" s="169" t="e">
        <f>VLOOKUP(C957,Stock_list!D:L,2,FALSE)</f>
        <v>#N/A</v>
      </c>
      <c r="E957" s="282" t="e">
        <f>VLOOKUP(C957,Stock_list!D:L,9,FALSE)</f>
        <v>#N/A</v>
      </c>
      <c r="F957" s="170" t="s">
        <v>227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264</v>
      </c>
      <c r="B958" s="114" t="str">
        <f>VLOOKUP(A958,'Data pick slip'!B:F,5,FALSE)</f>
        <v>KHJ-MC200-00</v>
      </c>
      <c r="C958" s="169">
        <v>110930</v>
      </c>
      <c r="D958" s="169" t="e">
        <f>VLOOKUP(C958,Stock_list!D:L,2,FALSE)</f>
        <v>#N/A</v>
      </c>
      <c r="E958" s="282" t="e">
        <f>VLOOKUP(C958,Stock_list!D:L,9,FALSE)</f>
        <v>#N/A</v>
      </c>
      <c r="F958" s="170" t="s">
        <v>227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261</v>
      </c>
      <c r="B959" s="114" t="str">
        <f>VLOOKUP(A959,'Data pick slip'!B:F,5,FALSE)</f>
        <v>KHJ-MC100-00</v>
      </c>
      <c r="C959" s="169">
        <v>110932</v>
      </c>
      <c r="D959" s="169" t="e">
        <f>VLOOKUP(C959,Stock_list!D:L,2,FALSE)</f>
        <v>#N/A</v>
      </c>
      <c r="E959" s="282" t="e">
        <f>VLOOKUP(C959,Stock_list!D:L,9,FALSE)</f>
        <v>#N/A</v>
      </c>
      <c r="F959" s="170" t="s">
        <v>227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261</v>
      </c>
      <c r="B960" s="114" t="str">
        <f>VLOOKUP(A960,'Data pick slip'!B:F,5,FALSE)</f>
        <v>KHJ-MC100-00</v>
      </c>
      <c r="C960" s="169">
        <v>110933</v>
      </c>
      <c r="D960" s="169" t="e">
        <f>VLOOKUP(C960,Stock_list!D:L,2,FALSE)</f>
        <v>#N/A</v>
      </c>
      <c r="E960" s="282" t="e">
        <f>VLOOKUP(C960,Stock_list!D:L,9,FALSE)</f>
        <v>#N/A</v>
      </c>
      <c r="F960" s="170" t="s">
        <v>227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264</v>
      </c>
      <c r="B961" s="114" t="str">
        <f>VLOOKUP(A961,'Data pick slip'!B:F,5,FALSE)</f>
        <v>KHJ-MC200-00</v>
      </c>
      <c r="C961" s="169">
        <v>110933</v>
      </c>
      <c r="D961" s="169" t="e">
        <f>VLOOKUP(C961,Stock_list!D:L,2,FALSE)</f>
        <v>#N/A</v>
      </c>
      <c r="E961" s="282" t="e">
        <f>VLOOKUP(C961,Stock_list!D:L,9,FALSE)</f>
        <v>#N/A</v>
      </c>
      <c r="F961" s="170" t="s">
        <v>227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265</v>
      </c>
      <c r="B962" s="114" t="str">
        <f>VLOOKUP(A962,'Data pick slip'!B:F,5,FALSE)</f>
        <v>KHJ-MC400-00</v>
      </c>
      <c r="C962" s="169">
        <v>110933</v>
      </c>
      <c r="D962" s="169" t="e">
        <f>VLOOKUP(C962,Stock_list!D:L,2,FALSE)</f>
        <v>#N/A</v>
      </c>
      <c r="E962" s="282" t="e">
        <f>VLOOKUP(C962,Stock_list!D:L,9,FALSE)</f>
        <v>#N/A</v>
      </c>
      <c r="F962" s="170" t="s">
        <v>227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266</v>
      </c>
      <c r="B963" s="114" t="str">
        <f>VLOOKUP(A963,'Data pick slip'!B:F,5,FALSE)</f>
        <v>KHJ-MC500-00</v>
      </c>
      <c r="C963" s="169">
        <v>110933</v>
      </c>
      <c r="D963" s="169" t="e">
        <f>VLOOKUP(C963,Stock_list!D:L,2,FALSE)</f>
        <v>#N/A</v>
      </c>
      <c r="E963" s="282" t="e">
        <f>VLOOKUP(C963,Stock_list!D:L,9,FALSE)</f>
        <v>#N/A</v>
      </c>
      <c r="F963" s="170" t="s">
        <v>227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261</v>
      </c>
      <c r="B964" s="114" t="str">
        <f>VLOOKUP(A964,'Data pick slip'!B:F,5,FALSE)</f>
        <v>KHJ-MC100-00</v>
      </c>
      <c r="C964" s="169">
        <v>110934</v>
      </c>
      <c r="D964" s="169" t="e">
        <f>VLOOKUP(C964,Stock_list!D:L,2,FALSE)</f>
        <v>#N/A</v>
      </c>
      <c r="E964" s="282" t="e">
        <f>VLOOKUP(C964,Stock_list!D:L,9,FALSE)</f>
        <v>#N/A</v>
      </c>
      <c r="F964" s="170" t="s">
        <v>227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264</v>
      </c>
      <c r="B965" s="114" t="str">
        <f>VLOOKUP(A965,'Data pick slip'!B:F,5,FALSE)</f>
        <v>KHJ-MC200-00</v>
      </c>
      <c r="C965" s="169">
        <v>110934</v>
      </c>
      <c r="D965" s="169" t="e">
        <f>VLOOKUP(C965,Stock_list!D:L,2,FALSE)</f>
        <v>#N/A</v>
      </c>
      <c r="E965" s="282" t="e">
        <f>VLOOKUP(C965,Stock_list!D:L,9,FALSE)</f>
        <v>#N/A</v>
      </c>
      <c r="F965" s="170" t="s">
        <v>227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265</v>
      </c>
      <c r="B966" s="114" t="str">
        <f>VLOOKUP(A966,'Data pick slip'!B:F,5,FALSE)</f>
        <v>KHJ-MC400-00</v>
      </c>
      <c r="C966" s="169">
        <v>110934</v>
      </c>
      <c r="D966" s="169" t="e">
        <f>VLOOKUP(C966,Stock_list!D:L,2,FALSE)</f>
        <v>#N/A</v>
      </c>
      <c r="E966" s="282" t="e">
        <f>VLOOKUP(C966,Stock_list!D:L,9,FALSE)</f>
        <v>#N/A</v>
      </c>
      <c r="F966" s="170" t="s">
        <v>227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266</v>
      </c>
      <c r="B967" s="114" t="str">
        <f>VLOOKUP(A967,'Data pick slip'!B:F,5,FALSE)</f>
        <v>KHJ-MC500-00</v>
      </c>
      <c r="C967" s="169">
        <v>110934</v>
      </c>
      <c r="D967" s="169" t="e">
        <f>VLOOKUP(C967,Stock_list!D:L,2,FALSE)</f>
        <v>#N/A</v>
      </c>
      <c r="E967" s="282" t="e">
        <f>VLOOKUP(C967,Stock_list!D:L,9,FALSE)</f>
        <v>#N/A</v>
      </c>
      <c r="F967" s="170" t="s">
        <v>227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261</v>
      </c>
      <c r="B968" s="114" t="str">
        <f>VLOOKUP(A968,'Data pick slip'!B:F,5,FALSE)</f>
        <v>KHJ-MC100-00</v>
      </c>
      <c r="C968" s="169"/>
      <c r="D968" s="169"/>
      <c r="E968" s="282" t="s">
        <v>500</v>
      </c>
      <c r="F968" s="170" t="s">
        <v>270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264</v>
      </c>
      <c r="B969" s="114" t="str">
        <f>VLOOKUP(A969,'Data pick slip'!B:F,5,FALSE)</f>
        <v>KHJ-MC200-00</v>
      </c>
      <c r="C969" s="169"/>
      <c r="D969" s="169"/>
      <c r="E969" s="282" t="s">
        <v>500</v>
      </c>
      <c r="F969" s="170" t="s">
        <v>270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265</v>
      </c>
      <c r="B970" s="114" t="str">
        <f>VLOOKUP(A970,'Data pick slip'!B:F,5,FALSE)</f>
        <v>KHJ-MC400-00</v>
      </c>
      <c r="C970" s="169"/>
      <c r="D970" s="169"/>
      <c r="E970" s="282" t="s">
        <v>500</v>
      </c>
      <c r="F970" s="170" t="s">
        <v>270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268</v>
      </c>
      <c r="B971" s="114" t="str">
        <f>VLOOKUP(A971,'Data pick slip'!B:F,5,FALSE)</f>
        <v>KHJ-MC700-00</v>
      </c>
      <c r="C971" s="169"/>
      <c r="D971" s="169"/>
      <c r="E971" s="282" t="s">
        <v>500</v>
      </c>
      <c r="F971" s="170" t="s">
        <v>270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261</v>
      </c>
      <c r="B972" s="114" t="str">
        <f>VLOOKUP(A972,'Data pick slip'!B:F,5,FALSE)</f>
        <v>KHJ-MC100-00</v>
      </c>
      <c r="C972" s="169">
        <v>110953</v>
      </c>
      <c r="D972" s="169" t="e">
        <f>VLOOKUP(C972,Stock_list!D:L,2,FALSE)</f>
        <v>#N/A</v>
      </c>
      <c r="E972" s="282" t="e">
        <f>VLOOKUP(C972,Stock_list!D:L,9,FALSE)</f>
        <v>#N/A</v>
      </c>
      <c r="F972" s="170" t="s">
        <v>227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264</v>
      </c>
      <c r="B973" s="114" t="str">
        <f>VLOOKUP(A973,'Data pick slip'!B:F,5,FALSE)</f>
        <v>KHJ-MC200-00</v>
      </c>
      <c r="C973" s="169">
        <v>110953</v>
      </c>
      <c r="D973" s="169" t="e">
        <f>VLOOKUP(C973,Stock_list!D:L,2,FALSE)</f>
        <v>#N/A</v>
      </c>
      <c r="E973" s="282" t="e">
        <f>VLOOKUP(C973,Stock_list!D:L,9,FALSE)</f>
        <v>#N/A</v>
      </c>
      <c r="F973" s="170" t="s">
        <v>227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261</v>
      </c>
      <c r="B974" s="114" t="str">
        <f>VLOOKUP(A974,'Data pick slip'!B:F,5,FALSE)</f>
        <v>KHJ-MC100-00</v>
      </c>
      <c r="C974" s="169">
        <v>110952</v>
      </c>
      <c r="D974" s="169" t="e">
        <f>VLOOKUP(C974,Stock_list!D:L,2,FALSE)</f>
        <v>#N/A</v>
      </c>
      <c r="E974" s="282" t="e">
        <f>VLOOKUP(C974,Stock_list!D:L,9,FALSE)</f>
        <v>#N/A</v>
      </c>
      <c r="F974" s="170" t="s">
        <v>227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261</v>
      </c>
      <c r="B975" s="114" t="str">
        <f>VLOOKUP(A975,'Data pick slip'!B:F,5,FALSE)</f>
        <v>KHJ-MC100-00</v>
      </c>
      <c r="C975" s="169">
        <v>110951</v>
      </c>
      <c r="D975" s="169" t="e">
        <f>VLOOKUP(C975,Stock_list!D:L,2,FALSE)</f>
        <v>#N/A</v>
      </c>
      <c r="E975" s="282" t="e">
        <f>VLOOKUP(C975,Stock_list!D:L,9,FALSE)</f>
        <v>#N/A</v>
      </c>
      <c r="F975" s="170" t="s">
        <v>227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264</v>
      </c>
      <c r="B976" s="114" t="str">
        <f>VLOOKUP(A976,'Data pick slip'!B:F,5,FALSE)</f>
        <v>KHJ-MC200-00</v>
      </c>
      <c r="C976" s="169">
        <v>110951</v>
      </c>
      <c r="D976" s="169" t="e">
        <f>VLOOKUP(C976,Stock_list!D:L,2,FALSE)</f>
        <v>#N/A</v>
      </c>
      <c r="E976" s="282" t="e">
        <f>VLOOKUP(C976,Stock_list!D:L,9,FALSE)</f>
        <v>#N/A</v>
      </c>
      <c r="F976" s="170" t="s">
        <v>227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265</v>
      </c>
      <c r="B977" s="114" t="str">
        <f>VLOOKUP(A977,'Data pick slip'!B:F,5,FALSE)</f>
        <v>KHJ-MC400-00</v>
      </c>
      <c r="C977" s="169">
        <v>110951</v>
      </c>
      <c r="D977" s="169" t="e">
        <f>VLOOKUP(C977,Stock_list!D:L,2,FALSE)</f>
        <v>#N/A</v>
      </c>
      <c r="E977" s="282" t="e">
        <f>VLOOKUP(C977,Stock_list!D:L,9,FALSE)</f>
        <v>#N/A</v>
      </c>
      <c r="F977" s="170" t="s">
        <v>227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261</v>
      </c>
      <c r="B978" s="114" t="str">
        <f>VLOOKUP(A978,'Data pick slip'!B:F,5,FALSE)</f>
        <v>KHJ-MC100-00</v>
      </c>
      <c r="C978" s="169">
        <v>110956</v>
      </c>
      <c r="D978" s="169" t="e">
        <f>VLOOKUP(C978,Stock_list!D:L,2,FALSE)</f>
        <v>#N/A</v>
      </c>
      <c r="E978" s="282" t="e">
        <f>VLOOKUP(C978,Stock_list!D:L,9,FALSE)</f>
        <v>#N/A</v>
      </c>
      <c r="F978" s="170" t="s">
        <v>227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261</v>
      </c>
      <c r="B979" s="114" t="str">
        <f>VLOOKUP(A979,'Data pick slip'!B:F,5,FALSE)</f>
        <v>KHJ-MC100-00</v>
      </c>
      <c r="C979" s="169">
        <v>110963</v>
      </c>
      <c r="D979" s="169" t="e">
        <f>VLOOKUP(C979,Stock_list!D:L,2,FALSE)</f>
        <v>#N/A</v>
      </c>
      <c r="E979" s="282" t="e">
        <f>VLOOKUP(C979,Stock_list!D:L,9,FALSE)</f>
        <v>#N/A</v>
      </c>
      <c r="F979" s="170" t="s">
        <v>227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261</v>
      </c>
      <c r="B980" s="114" t="str">
        <f>VLOOKUP(A980,'Data pick slip'!B:F,5,FALSE)</f>
        <v>KHJ-MC100-00</v>
      </c>
      <c r="C980" s="169">
        <v>110954</v>
      </c>
      <c r="D980" s="169" t="e">
        <f>VLOOKUP(C980,Stock_list!D:L,2,FALSE)</f>
        <v>#N/A</v>
      </c>
      <c r="E980" s="282" t="e">
        <f>VLOOKUP(C980,Stock_list!D:L,9,FALSE)</f>
        <v>#N/A</v>
      </c>
      <c r="F980" s="170" t="s">
        <v>227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261</v>
      </c>
      <c r="B981" s="114" t="str">
        <f>VLOOKUP(A981,'Data pick slip'!B:F,5,FALSE)</f>
        <v>KHJ-MC100-00</v>
      </c>
      <c r="C981" s="169">
        <v>110959</v>
      </c>
      <c r="D981" s="169" t="e">
        <f>VLOOKUP(C981,Stock_list!D:L,2,FALSE)</f>
        <v>#N/A</v>
      </c>
      <c r="E981" s="282" t="e">
        <f>VLOOKUP(C981,Stock_list!D:L,9,FALSE)</f>
        <v>#N/A</v>
      </c>
      <c r="F981" s="170" t="s">
        <v>497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261</v>
      </c>
      <c r="B982" s="114" t="str">
        <f>VLOOKUP(A982,'Data pick slip'!B:F,5,FALSE)</f>
        <v>KHJ-MC100-00</v>
      </c>
      <c r="C982" s="169">
        <v>110958</v>
      </c>
      <c r="D982" s="169" t="e">
        <f>VLOOKUP(C982,Stock_list!D:L,2,FALSE)</f>
        <v>#N/A</v>
      </c>
      <c r="E982" s="282" t="e">
        <f>VLOOKUP(C982,Stock_list!D:L,9,FALSE)</f>
        <v>#N/A</v>
      </c>
      <c r="F982" s="170" t="s">
        <v>227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261</v>
      </c>
      <c r="B983" s="114" t="str">
        <f>VLOOKUP(A983,'Data pick slip'!B:F,5,FALSE)</f>
        <v>KHJ-MC100-00</v>
      </c>
      <c r="C983" s="169">
        <v>110957</v>
      </c>
      <c r="D983" s="169" t="e">
        <f>VLOOKUP(C983,Stock_list!D:L,2,FALSE)</f>
        <v>#N/A</v>
      </c>
      <c r="E983" s="282" t="e">
        <f>VLOOKUP(C983,Stock_list!D:L,9,FALSE)</f>
        <v>#N/A</v>
      </c>
      <c r="F983" s="170" t="s">
        <v>227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261</v>
      </c>
      <c r="B984" s="114" t="str">
        <f>VLOOKUP(A984,'Data pick slip'!B:F,5,FALSE)</f>
        <v>KHJ-MC100-00</v>
      </c>
      <c r="C984" s="169">
        <v>110962</v>
      </c>
      <c r="D984" s="169" t="e">
        <f>VLOOKUP(C984,Stock_list!D:L,2,FALSE)</f>
        <v>#N/A</v>
      </c>
      <c r="E984" s="282" t="e">
        <f>VLOOKUP(C984,Stock_list!D:L,9,FALSE)</f>
        <v>#N/A</v>
      </c>
      <c r="F984" s="170" t="s">
        <v>227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261</v>
      </c>
      <c r="B985" s="114" t="str">
        <f>VLOOKUP(A985,'Data pick slip'!B:F,5,FALSE)</f>
        <v>KHJ-MC100-00</v>
      </c>
      <c r="C985" s="169">
        <v>110961</v>
      </c>
      <c r="D985" s="169" t="e">
        <f>VLOOKUP(C985,Stock_list!D:L,2,FALSE)</f>
        <v>#N/A</v>
      </c>
      <c r="E985" s="282" t="e">
        <f>VLOOKUP(C985,Stock_list!D:L,9,FALSE)</f>
        <v>#N/A</v>
      </c>
      <c r="F985" s="170" t="s">
        <v>227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261</v>
      </c>
      <c r="B986" s="114" t="str">
        <f>VLOOKUP(A986,'Data pick slip'!B:F,5,FALSE)</f>
        <v>KHJ-MC100-00</v>
      </c>
      <c r="C986" s="169">
        <v>110960</v>
      </c>
      <c r="D986" s="169" t="e">
        <f>VLOOKUP(C986,Stock_list!D:L,2,FALSE)</f>
        <v>#N/A</v>
      </c>
      <c r="E986" s="282" t="e">
        <f>VLOOKUP(C986,Stock_list!D:L,9,FALSE)</f>
        <v>#N/A</v>
      </c>
      <c r="F986" s="170" t="s">
        <v>227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261</v>
      </c>
      <c r="B987" s="114" t="str">
        <f>VLOOKUP(A987,'Data pick slip'!B:F,5,FALSE)</f>
        <v>KHJ-MC100-00</v>
      </c>
      <c r="C987" s="169"/>
      <c r="D987" s="169"/>
      <c r="E987" s="282" t="s">
        <v>501</v>
      </c>
      <c r="F987" s="170" t="s">
        <v>270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264</v>
      </c>
      <c r="B988" s="114" t="str">
        <f>VLOOKUP(A988,'Data pick slip'!B:F,5,FALSE)</f>
        <v>KHJ-MC200-00</v>
      </c>
      <c r="C988" s="169"/>
      <c r="D988" s="169"/>
      <c r="E988" s="282" t="s">
        <v>501</v>
      </c>
      <c r="F988" s="170" t="s">
        <v>270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265</v>
      </c>
      <c r="B989" s="114" t="str">
        <f>VLOOKUP(A989,'Data pick slip'!B:F,5,FALSE)</f>
        <v>KHJ-MC400-00</v>
      </c>
      <c r="C989" s="169"/>
      <c r="D989" s="169"/>
      <c r="E989" s="282" t="s">
        <v>501</v>
      </c>
      <c r="F989" s="170" t="s">
        <v>270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272</v>
      </c>
      <c r="B990" s="114" t="str">
        <f>VLOOKUP(A990,'Data pick slip'!B:F,5,FALSE)</f>
        <v>KLJ-MC100-00</v>
      </c>
      <c r="C990" s="169"/>
      <c r="D990" s="169"/>
      <c r="E990" s="282" t="s">
        <v>501</v>
      </c>
      <c r="F990" s="170" t="s">
        <v>270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261</v>
      </c>
      <c r="B991" s="114" t="str">
        <f>VLOOKUP(A991,'Data pick slip'!B:F,5,FALSE)</f>
        <v>KHJ-MC100-00</v>
      </c>
      <c r="C991" s="169"/>
      <c r="D991" s="169"/>
      <c r="E991" s="282" t="s">
        <v>502</v>
      </c>
      <c r="F991" s="170" t="s">
        <v>270</v>
      </c>
      <c r="G991" s="322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264</v>
      </c>
      <c r="B992" s="114" t="str">
        <f>VLOOKUP(A992,'Data pick slip'!B:F,5,FALSE)</f>
        <v>KHJ-MC200-00</v>
      </c>
      <c r="C992" s="169"/>
      <c r="D992" s="169"/>
      <c r="E992" s="282" t="s">
        <v>502</v>
      </c>
      <c r="F992" s="170" t="s">
        <v>270</v>
      </c>
      <c r="G992" s="322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265</v>
      </c>
      <c r="B993" s="114" t="str">
        <f>VLOOKUP(A993,'Data pick slip'!B:F,5,FALSE)</f>
        <v>KHJ-MC400-00</v>
      </c>
      <c r="C993" s="169"/>
      <c r="D993" s="169"/>
      <c r="E993" s="282" t="s">
        <v>502</v>
      </c>
      <c r="F993" s="170" t="s">
        <v>270</v>
      </c>
      <c r="G993" s="322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267</v>
      </c>
      <c r="B994" s="114" t="str">
        <f>VLOOKUP(A994,'Data pick slip'!B:F,5,FALSE)</f>
        <v>KHJ-MC600-00</v>
      </c>
      <c r="C994" s="169"/>
      <c r="D994" s="169"/>
      <c r="E994" s="282" t="s">
        <v>502</v>
      </c>
      <c r="F994" s="170" t="s">
        <v>270</v>
      </c>
      <c r="G994" s="322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268</v>
      </c>
      <c r="B995" s="114" t="str">
        <f>VLOOKUP(A995,'Data pick slip'!B:F,5,FALSE)</f>
        <v>KHJ-MC700-00</v>
      </c>
      <c r="C995" s="169"/>
      <c r="D995" s="169"/>
      <c r="E995" s="282" t="s">
        <v>502</v>
      </c>
      <c r="F995" s="170" t="s">
        <v>270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261</v>
      </c>
      <c r="B996" s="114" t="str">
        <f>VLOOKUP(A996,'Data pick slip'!B:F,5,FALSE)</f>
        <v>KHJ-MC100-00</v>
      </c>
      <c r="C996" s="169">
        <v>110896</v>
      </c>
      <c r="D996" s="169" t="e">
        <f>VLOOKUP(C996,Stock_list!D:L,2,FALSE)</f>
        <v>#N/A</v>
      </c>
      <c r="E996" s="282" t="e">
        <f>VLOOKUP(C996,Stock_list!D:L,9,FALSE)</f>
        <v>#N/A</v>
      </c>
      <c r="F996" s="170" t="s">
        <v>227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264</v>
      </c>
      <c r="B997" s="114" t="str">
        <f>VLOOKUP(A997,'Data pick slip'!B:F,5,FALSE)</f>
        <v>KHJ-MC200-00</v>
      </c>
      <c r="C997" s="169">
        <v>110896</v>
      </c>
      <c r="D997" s="169" t="e">
        <f>VLOOKUP(C997,Stock_list!D:L,2,FALSE)</f>
        <v>#N/A</v>
      </c>
      <c r="E997" s="282" t="e">
        <f>VLOOKUP(C997,Stock_list!D:L,9,FALSE)</f>
        <v>#N/A</v>
      </c>
      <c r="F997" s="170" t="s">
        <v>227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265</v>
      </c>
      <c r="B998" s="114" t="str">
        <f>VLOOKUP(A998,'Data pick slip'!B:F,5,FALSE)</f>
        <v>KHJ-MC400-00</v>
      </c>
      <c r="C998" s="169">
        <v>110896</v>
      </c>
      <c r="D998" s="169" t="e">
        <f>VLOOKUP(C998,Stock_list!D:L,2,FALSE)</f>
        <v>#N/A</v>
      </c>
      <c r="E998" s="282" t="e">
        <f>VLOOKUP(C998,Stock_list!D:L,9,FALSE)</f>
        <v>#N/A</v>
      </c>
      <c r="F998" s="170" t="s">
        <v>227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266</v>
      </c>
      <c r="B999" s="114" t="str">
        <f>VLOOKUP(A999,'Data pick slip'!B:F,5,FALSE)</f>
        <v>KHJ-MC500-00</v>
      </c>
      <c r="C999" s="169">
        <v>110896</v>
      </c>
      <c r="D999" s="169" t="e">
        <f>VLOOKUP(C999,Stock_list!D:L,2,FALSE)</f>
        <v>#N/A</v>
      </c>
      <c r="E999" s="282" t="e">
        <f>VLOOKUP(C999,Stock_list!D:L,9,FALSE)</f>
        <v>#N/A</v>
      </c>
      <c r="F999" s="170" t="s">
        <v>227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261</v>
      </c>
      <c r="B1000" s="114" t="str">
        <f>VLOOKUP(A1000,'Data pick slip'!B:F,5,FALSE)</f>
        <v>KHJ-MC100-00</v>
      </c>
      <c r="C1000" s="169">
        <v>110989</v>
      </c>
      <c r="D1000" s="169" t="e">
        <f>VLOOKUP(C1000,Stock_list!D:L,2,FALSE)</f>
        <v>#N/A</v>
      </c>
      <c r="E1000" s="282" t="e">
        <f>VLOOKUP(C1000,Stock_list!D:L,9,FALSE)</f>
        <v>#N/A</v>
      </c>
      <c r="F1000" s="170" t="s">
        <v>227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261</v>
      </c>
      <c r="B1001" s="114" t="str">
        <f>VLOOKUP(A1001,'Data pick slip'!B:F,5,FALSE)</f>
        <v>KHJ-MC100-00</v>
      </c>
      <c r="C1001" s="169">
        <v>110988</v>
      </c>
      <c r="D1001" s="169" t="e">
        <f>VLOOKUP(C1001,Stock_list!D:L,2,FALSE)</f>
        <v>#N/A</v>
      </c>
      <c r="E1001" s="282" t="e">
        <f>VLOOKUP(C1001,Stock_list!D:L,9,FALSE)</f>
        <v>#N/A</v>
      </c>
      <c r="F1001" s="170" t="s">
        <v>227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261</v>
      </c>
      <c r="B1002" s="114" t="str">
        <f>VLOOKUP(A1002,'Data pick slip'!B:F,5,FALSE)</f>
        <v>KHJ-MC100-00</v>
      </c>
      <c r="C1002" s="169">
        <v>110987</v>
      </c>
      <c r="D1002" s="169" t="e">
        <f>VLOOKUP(C1002,Stock_list!D:L,2,FALSE)</f>
        <v>#N/A</v>
      </c>
      <c r="E1002" s="282" t="e">
        <f>VLOOKUP(C1002,Stock_list!D:L,9,FALSE)</f>
        <v>#N/A</v>
      </c>
      <c r="F1002" s="170" t="s">
        <v>227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261</v>
      </c>
      <c r="B1003" s="114" t="str">
        <f>VLOOKUP(A1003,'Data pick slip'!B:F,5,FALSE)</f>
        <v>KHJ-MC100-00</v>
      </c>
      <c r="C1003" s="169">
        <v>110986</v>
      </c>
      <c r="D1003" s="169" t="e">
        <f>VLOOKUP(C1003,Stock_list!D:L,2,FALSE)</f>
        <v>#N/A</v>
      </c>
      <c r="E1003" s="282" t="e">
        <f>VLOOKUP(C1003,Stock_list!D:L,9,FALSE)</f>
        <v>#N/A</v>
      </c>
      <c r="F1003" s="170" t="s">
        <v>227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261</v>
      </c>
      <c r="B1004" s="114" t="str">
        <f>VLOOKUP(A1004,'Data pick slip'!B:F,5,FALSE)</f>
        <v>KHJ-MC100-00</v>
      </c>
      <c r="C1004" s="169" t="s">
        <v>244</v>
      </c>
      <c r="D1004" s="169" t="e">
        <f>VLOOKUP(C1004,Stock_list!D:L,2,FALSE)</f>
        <v>#N/A</v>
      </c>
      <c r="E1004" s="282" t="e">
        <f>VLOOKUP(C1004,Stock_list!D:L,9,FALSE)</f>
        <v>#N/A</v>
      </c>
      <c r="F1004" s="170" t="s">
        <v>497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261</v>
      </c>
      <c r="B1005" s="114" t="str">
        <f>VLOOKUP(A1005,'Data pick slip'!B:F,5,FALSE)</f>
        <v>KHJ-MC100-00</v>
      </c>
      <c r="C1005" s="169">
        <v>110992</v>
      </c>
      <c r="D1005" s="169" t="e">
        <f>VLOOKUP(C1005,Stock_list!D:L,2,FALSE)</f>
        <v>#N/A</v>
      </c>
      <c r="E1005" s="282" t="e">
        <f>VLOOKUP(C1005,Stock_list!D:L,9,FALSE)</f>
        <v>#N/A</v>
      </c>
      <c r="F1005" s="170" t="s">
        <v>227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261</v>
      </c>
      <c r="B1006" s="114" t="str">
        <f>VLOOKUP(A1006,'Data pick slip'!B:F,5,FALSE)</f>
        <v>KHJ-MC100-00</v>
      </c>
      <c r="C1006" s="169">
        <v>110991</v>
      </c>
      <c r="D1006" s="169" t="e">
        <f>VLOOKUP(C1006,Stock_list!D:L,2,FALSE)</f>
        <v>#N/A</v>
      </c>
      <c r="E1006" s="282" t="e">
        <f>VLOOKUP(C1006,Stock_list!D:L,9,FALSE)</f>
        <v>#N/A</v>
      </c>
      <c r="F1006" s="170" t="s">
        <v>227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261</v>
      </c>
      <c r="B1007" s="114" t="str">
        <f>VLOOKUP(A1007,'Data pick slip'!B:F,5,FALSE)</f>
        <v>KHJ-MC100-00</v>
      </c>
      <c r="C1007" s="169">
        <v>110990</v>
      </c>
      <c r="D1007" s="169" t="e">
        <f>VLOOKUP(C1007,Stock_list!D:L,2,FALSE)</f>
        <v>#N/A</v>
      </c>
      <c r="E1007" s="282" t="e">
        <f>VLOOKUP(C1007,Stock_list!D:L,9,FALSE)</f>
        <v>#N/A</v>
      </c>
      <c r="F1007" s="170" t="s">
        <v>227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261</v>
      </c>
      <c r="B1008" s="114" t="str">
        <f>VLOOKUP(A1008,'Data pick slip'!B:F,5,FALSE)</f>
        <v>KHJ-MC100-00</v>
      </c>
      <c r="C1008" s="169">
        <v>110887</v>
      </c>
      <c r="D1008" s="169" t="e">
        <f>VLOOKUP(C1008,Stock_list!D:L,2,FALSE)</f>
        <v>#N/A</v>
      </c>
      <c r="E1008" s="282" t="e">
        <f>VLOOKUP(C1008,Stock_list!D:L,9,FALSE)</f>
        <v>#N/A</v>
      </c>
      <c r="F1008" s="170" t="s">
        <v>227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264</v>
      </c>
      <c r="B1009" s="114" t="str">
        <f>VLOOKUP(A1009,'Data pick slip'!B:F,5,FALSE)</f>
        <v>KHJ-MC200-00</v>
      </c>
      <c r="C1009" s="169">
        <v>110887</v>
      </c>
      <c r="D1009" s="169" t="e">
        <f>VLOOKUP(C1009,Stock_list!D:L,2,FALSE)</f>
        <v>#N/A</v>
      </c>
      <c r="E1009" s="282" t="e">
        <f>VLOOKUP(C1009,Stock_list!D:L,9,FALSE)</f>
        <v>#N/A</v>
      </c>
      <c r="F1009" s="170" t="s">
        <v>227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261</v>
      </c>
      <c r="B1010" s="114" t="str">
        <f>VLOOKUP(A1010,'Data pick slip'!B:F,5,FALSE)</f>
        <v>KHJ-MC100-00</v>
      </c>
      <c r="C1010" s="169">
        <v>111006</v>
      </c>
      <c r="D1010" s="169" t="e">
        <f>VLOOKUP(C1010,Stock_list!D:L,2,FALSE)</f>
        <v>#N/A</v>
      </c>
      <c r="E1010" s="282" t="e">
        <f>VLOOKUP(C1010,Stock_list!D:L,9,FALSE)</f>
        <v>#N/A</v>
      </c>
      <c r="F1010" s="170" t="s">
        <v>227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264</v>
      </c>
      <c r="B1011" s="114" t="str">
        <f>VLOOKUP(A1011,'Data pick slip'!B:F,5,FALSE)</f>
        <v>KHJ-MC200-00</v>
      </c>
      <c r="C1011" s="169">
        <v>111006</v>
      </c>
      <c r="D1011" s="169" t="e">
        <f>VLOOKUP(C1011,Stock_list!D:L,2,FALSE)</f>
        <v>#N/A</v>
      </c>
      <c r="E1011" s="282" t="e">
        <f>VLOOKUP(C1011,Stock_list!D:L,9,FALSE)</f>
        <v>#N/A</v>
      </c>
      <c r="F1011" s="170" t="s">
        <v>227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265</v>
      </c>
      <c r="B1012" s="114" t="str">
        <f>VLOOKUP(A1012,'Data pick slip'!B:F,5,FALSE)</f>
        <v>KHJ-MC400-00</v>
      </c>
      <c r="C1012" s="169">
        <v>111006</v>
      </c>
      <c r="D1012" s="169" t="e">
        <f>VLOOKUP(C1012,Stock_list!D:L,2,FALSE)</f>
        <v>#N/A</v>
      </c>
      <c r="E1012" s="282" t="e">
        <f>VLOOKUP(C1012,Stock_list!D:L,9,FALSE)</f>
        <v>#N/A</v>
      </c>
      <c r="F1012" s="170" t="s">
        <v>227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261</v>
      </c>
      <c r="B1013" s="114" t="str">
        <f>VLOOKUP(A1013,'Data pick slip'!B:F,5,FALSE)</f>
        <v>KHJ-MC100-00</v>
      </c>
      <c r="C1013" s="169"/>
      <c r="D1013" s="169"/>
      <c r="E1013" s="282" t="s">
        <v>503</v>
      </c>
      <c r="F1013" s="170" t="s">
        <v>270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264</v>
      </c>
      <c r="B1014" s="114" t="str">
        <f>VLOOKUP(A1014,'Data pick slip'!B:F,5,FALSE)</f>
        <v>KHJ-MC200-00</v>
      </c>
      <c r="C1014" s="169"/>
      <c r="D1014" s="169"/>
      <c r="E1014" s="282" t="s">
        <v>503</v>
      </c>
      <c r="F1014" s="170" t="s">
        <v>270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265</v>
      </c>
      <c r="B1015" s="114" t="str">
        <f>VLOOKUP(A1015,'Data pick slip'!B:F,5,FALSE)</f>
        <v>KHJ-MC400-00</v>
      </c>
      <c r="C1015" s="169"/>
      <c r="D1015" s="169"/>
      <c r="E1015" s="282" t="s">
        <v>503</v>
      </c>
      <c r="F1015" s="170" t="s">
        <v>270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266</v>
      </c>
      <c r="B1016" s="114" t="str">
        <f>VLOOKUP(A1016,'Data pick slip'!B:F,5,FALSE)</f>
        <v>KHJ-MC500-00</v>
      </c>
      <c r="C1016" s="169"/>
      <c r="D1016" s="169"/>
      <c r="E1016" s="282" t="s">
        <v>503</v>
      </c>
      <c r="F1016" s="170" t="s">
        <v>270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272</v>
      </c>
      <c r="B1017" s="114" t="str">
        <f>VLOOKUP(A1017,'Data pick slip'!B:F,5,FALSE)</f>
        <v>KLJ-MC100-00</v>
      </c>
      <c r="C1017" s="169"/>
      <c r="D1017" s="169"/>
      <c r="E1017" s="282" t="s">
        <v>503</v>
      </c>
      <c r="F1017" s="170" t="s">
        <v>270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273</v>
      </c>
      <c r="B1018" s="114" t="str">
        <f>VLOOKUP(A1018,'Data pick slip'!B:F,5,FALSE)</f>
        <v>KLJ-MC200-00</v>
      </c>
      <c r="C1018" s="169"/>
      <c r="D1018" s="169"/>
      <c r="E1018" s="282" t="s">
        <v>503</v>
      </c>
      <c r="F1018" s="170" t="s">
        <v>270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261</v>
      </c>
      <c r="B1019" s="114" t="str">
        <f>VLOOKUP(A1019,'Data pick slip'!B:F,5,FALSE)</f>
        <v>KHJ-MC100-00</v>
      </c>
      <c r="C1019" s="169"/>
      <c r="D1019" s="169"/>
      <c r="E1019" s="282" t="s">
        <v>504</v>
      </c>
      <c r="F1019" s="170" t="s">
        <v>270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266</v>
      </c>
      <c r="B1020" s="114" t="str">
        <f>VLOOKUP(A1020,'Data pick slip'!B:F,5,FALSE)</f>
        <v>KHJ-MC500-00</v>
      </c>
      <c r="C1020" s="169"/>
      <c r="D1020" s="169"/>
      <c r="E1020" s="282" t="s">
        <v>504</v>
      </c>
      <c r="F1020" s="170" t="s">
        <v>270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261</v>
      </c>
      <c r="B1021" s="114" t="str">
        <f>VLOOKUP(A1021,'Data pick slip'!B:F,5,FALSE)</f>
        <v>KHJ-MC100-00</v>
      </c>
      <c r="C1021" s="169"/>
      <c r="D1021" s="169"/>
      <c r="E1021" s="282" t="s">
        <v>505</v>
      </c>
      <c r="F1021" s="170" t="s">
        <v>270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264</v>
      </c>
      <c r="B1022" s="114" t="str">
        <f>VLOOKUP(A1022,'Data pick slip'!B:F,5,FALSE)</f>
        <v>KHJ-MC200-00</v>
      </c>
      <c r="C1022" s="169"/>
      <c r="D1022" s="169"/>
      <c r="E1022" s="282" t="s">
        <v>505</v>
      </c>
      <c r="F1022" s="170" t="s">
        <v>270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267</v>
      </c>
      <c r="B1023" s="114" t="str">
        <f>VLOOKUP(A1023,'Data pick slip'!B:F,5,FALSE)</f>
        <v>KHJ-MC600-00</v>
      </c>
      <c r="C1023" s="169"/>
      <c r="D1023" s="169"/>
      <c r="E1023" s="282" t="s">
        <v>505</v>
      </c>
      <c r="F1023" s="170" t="s">
        <v>270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261</v>
      </c>
      <c r="B1024" s="114" t="str">
        <f>VLOOKUP(A1024,'Data pick slip'!B:F,5,FALSE)</f>
        <v>KHJ-MC100-00</v>
      </c>
      <c r="C1024" s="169">
        <v>111020</v>
      </c>
      <c r="D1024" s="169" t="e">
        <f>VLOOKUP(C1024,Stock_list!D:L,2,FALSE)</f>
        <v>#N/A</v>
      </c>
      <c r="E1024" s="282" t="e">
        <f>VLOOKUP(C1024,Stock_list!D:L,9,FALSE)</f>
        <v>#N/A</v>
      </c>
      <c r="F1024" s="170" t="s">
        <v>497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264</v>
      </c>
      <c r="B1025" s="114" t="str">
        <f>VLOOKUP(A1025,'Data pick slip'!B:F,5,FALSE)</f>
        <v>KHJ-MC200-00</v>
      </c>
      <c r="C1025" s="169">
        <v>111020</v>
      </c>
      <c r="D1025" s="169" t="e">
        <f>VLOOKUP(C1025,Stock_list!D:L,2,FALSE)</f>
        <v>#N/A</v>
      </c>
      <c r="E1025" s="282" t="e">
        <f>VLOOKUP(C1025,Stock_list!D:L,9,FALSE)</f>
        <v>#N/A</v>
      </c>
      <c r="F1025" s="170" t="s">
        <v>497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261</v>
      </c>
      <c r="B1026" s="114" t="str">
        <f>VLOOKUP(A1026,'Data pick slip'!B:F,5,FALSE)</f>
        <v>KHJ-MC100-00</v>
      </c>
      <c r="C1026" s="169">
        <v>110931</v>
      </c>
      <c r="D1026" s="169" t="e">
        <f>VLOOKUP(C1026,Stock_list!D:L,2,FALSE)</f>
        <v>#N/A</v>
      </c>
      <c r="E1026" s="282" t="e">
        <f>VLOOKUP(C1026,Stock_list!D:L,9,FALSE)</f>
        <v>#N/A</v>
      </c>
      <c r="F1026" s="170" t="s">
        <v>227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261</v>
      </c>
      <c r="B1027" s="114" t="str">
        <f>VLOOKUP(A1027,'Data pick slip'!B:F,5,FALSE)</f>
        <v>KHJ-MC100-00</v>
      </c>
      <c r="C1027" s="312" t="s">
        <v>506</v>
      </c>
      <c r="D1027" s="312" t="s">
        <v>506</v>
      </c>
      <c r="E1027" s="282">
        <v>44757</v>
      </c>
      <c r="F1027" s="170" t="s">
        <v>270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264</v>
      </c>
      <c r="B1028" s="114" t="str">
        <f>VLOOKUP(A1028,'Data pick slip'!B:F,5,FALSE)</f>
        <v>KHJ-MC200-00</v>
      </c>
      <c r="C1028" s="312" t="s">
        <v>506</v>
      </c>
      <c r="D1028" s="312" t="s">
        <v>506</v>
      </c>
      <c r="E1028" s="282">
        <v>44757</v>
      </c>
      <c r="F1028" s="170" t="s">
        <v>270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265</v>
      </c>
      <c r="B1029" s="114" t="str">
        <f>VLOOKUP(A1029,'Data pick slip'!B:F,5,FALSE)</f>
        <v>KHJ-MC400-00</v>
      </c>
      <c r="C1029" s="312" t="s">
        <v>506</v>
      </c>
      <c r="D1029" s="312" t="s">
        <v>506</v>
      </c>
      <c r="E1029" s="282">
        <v>44757</v>
      </c>
      <c r="F1029" s="170" t="s">
        <v>270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266</v>
      </c>
      <c r="B1030" s="114" t="str">
        <f>VLOOKUP(A1030,'Data pick slip'!B:F,5,FALSE)</f>
        <v>KHJ-MC500-00</v>
      </c>
      <c r="C1030" s="312" t="s">
        <v>506</v>
      </c>
      <c r="D1030" s="312" t="s">
        <v>506</v>
      </c>
      <c r="E1030" s="282">
        <v>44757</v>
      </c>
      <c r="F1030" s="170" t="s">
        <v>270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267</v>
      </c>
      <c r="B1031" s="114" t="str">
        <f>VLOOKUP(A1031,'Data pick slip'!B:F,5,FALSE)</f>
        <v>KHJ-MC600-00</v>
      </c>
      <c r="C1031" s="312" t="s">
        <v>506</v>
      </c>
      <c r="D1031" s="312" t="s">
        <v>506</v>
      </c>
      <c r="E1031" s="282">
        <v>44757</v>
      </c>
      <c r="F1031" s="170" t="s">
        <v>270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268</v>
      </c>
      <c r="B1032" s="114" t="str">
        <f>VLOOKUP(A1032,'Data pick slip'!B:F,5,FALSE)</f>
        <v>KHJ-MC700-00</v>
      </c>
      <c r="C1032" s="312" t="s">
        <v>506</v>
      </c>
      <c r="D1032" s="312" t="s">
        <v>506</v>
      </c>
      <c r="E1032" s="282">
        <v>44757</v>
      </c>
      <c r="F1032" s="170" t="s">
        <v>270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261</v>
      </c>
      <c r="B1033" s="114" t="str">
        <f>VLOOKUP(A1033,'Data pick slip'!B:F,5,FALSE)</f>
        <v>KHJ-MC100-00</v>
      </c>
      <c r="C1033" s="169"/>
      <c r="D1033" s="169"/>
      <c r="E1033" s="139" t="s">
        <v>507</v>
      </c>
      <c r="F1033" s="170" t="s">
        <v>270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264</v>
      </c>
      <c r="B1034" s="114" t="str">
        <f>VLOOKUP(A1034,'Data pick slip'!B:F,5,FALSE)</f>
        <v>KHJ-MC200-00</v>
      </c>
      <c r="C1034" s="169"/>
      <c r="D1034" s="169"/>
      <c r="E1034" s="139" t="s">
        <v>507</v>
      </c>
      <c r="F1034" s="170" t="s">
        <v>270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272</v>
      </c>
      <c r="B1035" s="114" t="str">
        <f>VLOOKUP(A1035,'Data pick slip'!B:F,5,FALSE)</f>
        <v>KLJ-MC100-00</v>
      </c>
      <c r="C1035" s="169"/>
      <c r="D1035" s="169"/>
      <c r="E1035" s="139" t="s">
        <v>507</v>
      </c>
      <c r="F1035" s="170" t="s">
        <v>270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273</v>
      </c>
      <c r="B1036" s="114" t="str">
        <f>VLOOKUP(A1036,'Data pick slip'!B:F,5,FALSE)</f>
        <v>KLJ-MC200-00</v>
      </c>
      <c r="C1036" s="169"/>
      <c r="D1036" s="169"/>
      <c r="E1036" s="139" t="s">
        <v>507</v>
      </c>
      <c r="F1036" s="170" t="s">
        <v>270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</v>
      </c>
      <c r="B1037" s="114" t="str">
        <f>VLOOKUP(A1037,'Data pick slip'!B:F,5,FALSE)</f>
        <v>KLJ-MC500-00</v>
      </c>
      <c r="C1037" s="169"/>
      <c r="D1037" s="169"/>
      <c r="E1037" s="139" t="s">
        <v>507</v>
      </c>
      <c r="F1037" s="170" t="s">
        <v>270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261</v>
      </c>
      <c r="B1038" s="114" t="str">
        <f>VLOOKUP(A1038,'Data pick slip'!B:F,5,FALSE)</f>
        <v>KHJ-MC100-00</v>
      </c>
      <c r="C1038" s="169"/>
      <c r="D1038" s="169"/>
      <c r="E1038" s="139" t="s">
        <v>508</v>
      </c>
      <c r="F1038" s="170" t="s">
        <v>270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264</v>
      </c>
      <c r="B1039" s="114" t="str">
        <f>VLOOKUP(A1039,'Data pick slip'!B:F,5,FALSE)</f>
        <v>KHJ-MC200-00</v>
      </c>
      <c r="C1039" s="169"/>
      <c r="D1039" s="169"/>
      <c r="E1039" s="139" t="s">
        <v>508</v>
      </c>
      <c r="F1039" s="170" t="s">
        <v>270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265</v>
      </c>
      <c r="B1040" s="114" t="str">
        <f>VLOOKUP(A1040,'Data pick slip'!B:F,5,FALSE)</f>
        <v>KHJ-MC400-00</v>
      </c>
      <c r="C1040" s="169"/>
      <c r="D1040" s="169"/>
      <c r="E1040" s="139" t="s">
        <v>508</v>
      </c>
      <c r="F1040" s="170" t="s">
        <v>270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266</v>
      </c>
      <c r="B1041" s="114" t="str">
        <f>VLOOKUP(A1041,'Data pick slip'!B:F,5,FALSE)</f>
        <v>KHJ-MC500-00</v>
      </c>
      <c r="C1041" s="169"/>
      <c r="D1041" s="169"/>
      <c r="E1041" s="139" t="s">
        <v>508</v>
      </c>
      <c r="F1041" s="170" t="s">
        <v>270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267</v>
      </c>
      <c r="B1042" s="114" t="str">
        <f>VLOOKUP(A1042,'Data pick slip'!B:F,5,FALSE)</f>
        <v>KHJ-MC600-00</v>
      </c>
      <c r="C1042" s="169"/>
      <c r="D1042" s="169"/>
      <c r="E1042" s="139" t="s">
        <v>508</v>
      </c>
      <c r="F1042" s="170" t="s">
        <v>270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274</v>
      </c>
      <c r="B1043" s="114" t="str">
        <f>VLOOKUP(A1043,'Data pick slip'!B:F,5,FALSE)</f>
        <v>KLJ-MC400-00</v>
      </c>
      <c r="C1043" s="169"/>
      <c r="D1043" s="169"/>
      <c r="E1043" s="139" t="s">
        <v>508</v>
      </c>
      <c r="F1043" s="170" t="s">
        <v>270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261</v>
      </c>
      <c r="B1044" s="114" t="str">
        <f>VLOOKUP(A1044,'Data pick slip'!B:F,5,FALSE)</f>
        <v>KHJ-MC100-00</v>
      </c>
      <c r="C1044" s="169"/>
      <c r="D1044" s="169"/>
      <c r="E1044" s="139" t="s">
        <v>509</v>
      </c>
      <c r="F1044" s="170" t="s">
        <v>270</v>
      </c>
      <c r="G1044" s="322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264</v>
      </c>
      <c r="B1045" s="114" t="str">
        <f>VLOOKUP(A1045,'Data pick slip'!B:F,5,FALSE)</f>
        <v>KHJ-MC200-00</v>
      </c>
      <c r="C1045" s="169"/>
      <c r="D1045" s="169"/>
      <c r="E1045" s="139" t="s">
        <v>509</v>
      </c>
      <c r="F1045" s="170" t="s">
        <v>270</v>
      </c>
      <c r="G1045" s="322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265</v>
      </c>
      <c r="B1046" s="114" t="str">
        <f>VLOOKUP(A1046,'Data pick slip'!B:F,5,FALSE)</f>
        <v>KHJ-MC400-00</v>
      </c>
      <c r="C1046" s="169"/>
      <c r="D1046" s="169"/>
      <c r="E1046" s="139" t="s">
        <v>509</v>
      </c>
      <c r="F1046" s="170" t="s">
        <v>270</v>
      </c>
      <c r="G1046" s="322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266</v>
      </c>
      <c r="B1047" s="114" t="str">
        <f>VLOOKUP(A1047,'Data pick slip'!B:F,5,FALSE)</f>
        <v>KHJ-MC500-00</v>
      </c>
      <c r="C1047" s="169"/>
      <c r="D1047" s="169"/>
      <c r="E1047" s="139" t="s">
        <v>509</v>
      </c>
      <c r="F1047" s="170" t="s">
        <v>270</v>
      </c>
      <c r="G1047" s="322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261</v>
      </c>
      <c r="B1048" s="114" t="str">
        <f>VLOOKUP(A1048,'Data pick slip'!B:F,5,FALSE)</f>
        <v>KHJ-MC100-00</v>
      </c>
      <c r="C1048" s="169"/>
      <c r="D1048" s="169"/>
      <c r="E1048" s="139" t="s">
        <v>510</v>
      </c>
      <c r="F1048" s="170" t="s">
        <v>270</v>
      </c>
      <c r="G1048" s="322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264</v>
      </c>
      <c r="B1049" s="114" t="str">
        <f>VLOOKUP(A1049,'Data pick slip'!B:F,5,FALSE)</f>
        <v>KHJ-MC200-00</v>
      </c>
      <c r="C1049" s="169"/>
      <c r="D1049" s="169"/>
      <c r="E1049" s="139" t="s">
        <v>510</v>
      </c>
      <c r="F1049" s="170" t="s">
        <v>270</v>
      </c>
      <c r="G1049" s="322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272</v>
      </c>
      <c r="B1050" s="114" t="str">
        <f>VLOOKUP(A1050,'Data pick slip'!B:F,5,FALSE)</f>
        <v>KLJ-MC100-00</v>
      </c>
      <c r="C1050" s="169"/>
      <c r="D1050" s="169"/>
      <c r="E1050" s="139" t="s">
        <v>510</v>
      </c>
      <c r="F1050" s="170" t="s">
        <v>270</v>
      </c>
      <c r="G1050" s="322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261</v>
      </c>
      <c r="B1051" s="114" t="str">
        <f>VLOOKUP(A1051,'Data pick slip'!B:F,5,FALSE)</f>
        <v>KHJ-MC100-00</v>
      </c>
      <c r="C1051" s="169"/>
      <c r="D1051" s="169"/>
      <c r="E1051" s="139" t="s">
        <v>511</v>
      </c>
      <c r="F1051" s="170" t="s">
        <v>270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264</v>
      </c>
      <c r="B1052" s="114" t="str">
        <f>VLOOKUP(A1052,'Data pick slip'!B:F,5,FALSE)</f>
        <v>KHJ-MC200-00</v>
      </c>
      <c r="C1052" s="169"/>
      <c r="D1052" s="169"/>
      <c r="E1052" s="139" t="s">
        <v>511</v>
      </c>
      <c r="F1052" s="170" t="s">
        <v>270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265</v>
      </c>
      <c r="B1053" s="114" t="str">
        <f>VLOOKUP(A1053,'Data pick slip'!B:F,5,FALSE)</f>
        <v>KHJ-MC400-00</v>
      </c>
      <c r="C1053" s="169"/>
      <c r="D1053" s="169"/>
      <c r="E1053" s="139" t="s">
        <v>511</v>
      </c>
      <c r="F1053" s="170" t="s">
        <v>270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266</v>
      </c>
      <c r="B1054" s="114" t="str">
        <f>VLOOKUP(A1054,'Data pick slip'!B:F,5,FALSE)</f>
        <v>KHJ-MC500-00</v>
      </c>
      <c r="C1054" s="169"/>
      <c r="D1054" s="169"/>
      <c r="E1054" s="139" t="s">
        <v>511</v>
      </c>
      <c r="F1054" s="170" t="s">
        <v>270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261</v>
      </c>
      <c r="B1055" s="114" t="str">
        <f>VLOOKUP(A1055,'Data pick slip'!B:F,5,FALSE)</f>
        <v>KHJ-MC100-00</v>
      </c>
      <c r="C1055" s="169"/>
      <c r="D1055" s="169"/>
      <c r="E1055" s="139" t="s">
        <v>512</v>
      </c>
      <c r="F1055" s="170" t="s">
        <v>270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264</v>
      </c>
      <c r="B1056" s="114" t="str">
        <f>VLOOKUP(A1056,'Data pick slip'!B:F,5,FALSE)</f>
        <v>KHJ-MC200-00</v>
      </c>
      <c r="C1056" s="169"/>
      <c r="D1056" s="169"/>
      <c r="E1056" s="139" t="s">
        <v>512</v>
      </c>
      <c r="F1056" s="170" t="s">
        <v>270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265</v>
      </c>
      <c r="B1057" s="114" t="str">
        <f>VLOOKUP(A1057,'Data pick slip'!B:F,5,FALSE)</f>
        <v>KHJ-MC400-00</v>
      </c>
      <c r="C1057" s="169"/>
      <c r="D1057" s="169"/>
      <c r="E1057" s="139" t="s">
        <v>512</v>
      </c>
      <c r="F1057" s="170" t="s">
        <v>270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267</v>
      </c>
      <c r="B1058" s="114" t="str">
        <f>VLOOKUP(A1058,'Data pick slip'!B:F,5,FALSE)</f>
        <v>KHJ-MC600-00</v>
      </c>
      <c r="C1058" s="169"/>
      <c r="D1058" s="169"/>
      <c r="E1058" s="139" t="s">
        <v>512</v>
      </c>
      <c r="F1058" s="170" t="s">
        <v>270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261</v>
      </c>
      <c r="B1059" s="114" t="str">
        <f>VLOOKUP(A1059,'Data pick slip'!B:F,5,FALSE)</f>
        <v>KHJ-MC100-00</v>
      </c>
      <c r="C1059" s="169">
        <v>111097</v>
      </c>
      <c r="D1059" s="169" t="e">
        <f>VLOOKUP(C1059,Stock_list!D:L,2,FALSE)</f>
        <v>#N/A</v>
      </c>
      <c r="E1059" s="282" t="e">
        <f>VLOOKUP(C1059,Stock_list!D:L,9,FALSE)</f>
        <v>#N/A</v>
      </c>
      <c r="F1059" s="170" t="s">
        <v>227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264</v>
      </c>
      <c r="B1060" s="114" t="str">
        <f>VLOOKUP(A1060,'Data pick slip'!B:F,5,FALSE)</f>
        <v>KHJ-MC200-00</v>
      </c>
      <c r="C1060" s="169">
        <v>111097</v>
      </c>
      <c r="D1060" s="169" t="e">
        <f>VLOOKUP(C1060,Stock_list!D:L,2,FALSE)</f>
        <v>#N/A</v>
      </c>
      <c r="E1060" s="282" t="e">
        <f>VLOOKUP(C1060,Stock_list!D:L,9,FALSE)</f>
        <v>#N/A</v>
      </c>
      <c r="F1060" s="170" t="s">
        <v>227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265</v>
      </c>
      <c r="B1061" s="114" t="str">
        <f>VLOOKUP(A1061,'Data pick slip'!B:F,5,FALSE)</f>
        <v>KHJ-MC400-00</v>
      </c>
      <c r="C1061" s="169">
        <v>111097</v>
      </c>
      <c r="D1061" s="169" t="e">
        <f>VLOOKUP(C1061,Stock_list!D:L,2,FALSE)</f>
        <v>#N/A</v>
      </c>
      <c r="E1061" s="282" t="e">
        <f>VLOOKUP(C1061,Stock_list!D:L,9,FALSE)</f>
        <v>#N/A</v>
      </c>
      <c r="F1061" s="170" t="s">
        <v>227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266</v>
      </c>
      <c r="B1062" s="114" t="str">
        <f>VLOOKUP(A1062,'Data pick slip'!B:F,5,FALSE)</f>
        <v>KHJ-MC500-00</v>
      </c>
      <c r="C1062" s="169">
        <v>111097</v>
      </c>
      <c r="D1062" s="169" t="e">
        <f>VLOOKUP(C1062,Stock_list!D:L,2,FALSE)</f>
        <v>#N/A</v>
      </c>
      <c r="E1062" s="282" t="e">
        <f>VLOOKUP(C1062,Stock_list!D:L,9,FALSE)</f>
        <v>#N/A</v>
      </c>
      <c r="F1062" s="170" t="s">
        <v>227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267</v>
      </c>
      <c r="B1063" s="114" t="str">
        <f>VLOOKUP(A1063,'Data pick slip'!B:F,5,FALSE)</f>
        <v>KHJ-MC600-00</v>
      </c>
      <c r="C1063" s="169">
        <v>111097</v>
      </c>
      <c r="D1063" s="169" t="e">
        <f>VLOOKUP(C1063,Stock_list!D:L,2,FALSE)</f>
        <v>#N/A</v>
      </c>
      <c r="E1063" s="282" t="e">
        <f>VLOOKUP(C1063,Stock_list!D:L,9,FALSE)</f>
        <v>#N/A</v>
      </c>
      <c r="F1063" s="170" t="s">
        <v>227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261</v>
      </c>
      <c r="B1064" s="114" t="str">
        <f>VLOOKUP(A1064,'Data pick slip'!B:F,5,FALSE)</f>
        <v>KHJ-MC100-00</v>
      </c>
      <c r="C1064" s="169"/>
      <c r="D1064" s="169"/>
      <c r="E1064" s="139" t="s">
        <v>513</v>
      </c>
      <c r="F1064" s="170" t="s">
        <v>270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264</v>
      </c>
      <c r="B1065" s="114" t="str">
        <f>VLOOKUP(A1065,'Data pick slip'!B:F,5,FALSE)</f>
        <v>KHJ-MC200-00</v>
      </c>
      <c r="C1065" s="169"/>
      <c r="D1065" s="169"/>
      <c r="E1065" s="139" t="s">
        <v>513</v>
      </c>
      <c r="F1065" s="170" t="s">
        <v>270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265</v>
      </c>
      <c r="B1066" s="114" t="str">
        <f>VLOOKUP(A1066,'Data pick slip'!B:F,5,FALSE)</f>
        <v>KHJ-MC400-00</v>
      </c>
      <c r="C1066" s="169"/>
      <c r="D1066" s="169"/>
      <c r="E1066" s="139" t="s">
        <v>513</v>
      </c>
      <c r="F1066" s="170" t="s">
        <v>270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261</v>
      </c>
      <c r="B1067" s="114" t="str">
        <f>VLOOKUP(A1067,'Data pick slip'!B:F,5,FALSE)</f>
        <v>KHJ-MC100-00</v>
      </c>
      <c r="E1067" s="139" t="s">
        <v>512</v>
      </c>
      <c r="F1067" s="170" t="s">
        <v>270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264</v>
      </c>
      <c r="B1068" s="114" t="str">
        <f>VLOOKUP(A1068,'Data pick slip'!B:F,5,FALSE)</f>
        <v>KHJ-MC200-00</v>
      </c>
      <c r="E1068" s="139" t="s">
        <v>512</v>
      </c>
      <c r="F1068" s="170" t="s">
        <v>270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265</v>
      </c>
      <c r="B1069" s="114" t="str">
        <f>VLOOKUP(A1069,'Data pick slip'!B:F,5,FALSE)</f>
        <v>KHJ-MC400-00</v>
      </c>
      <c r="E1069" s="139" t="s">
        <v>512</v>
      </c>
      <c r="F1069" s="170" t="s">
        <v>270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267</v>
      </c>
      <c r="B1070" s="114" t="str">
        <f>VLOOKUP(A1070,'Data pick slip'!B:F,5,FALSE)</f>
        <v>KHJ-MC600-00</v>
      </c>
      <c r="E1070" s="139" t="s">
        <v>512</v>
      </c>
      <c r="F1070" s="170" t="s">
        <v>270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261</v>
      </c>
      <c r="B1071" s="114" t="str">
        <f>VLOOKUP(A1071,'Data pick slip'!B:F,5,FALSE)</f>
        <v>KHJ-MC100-00</v>
      </c>
      <c r="E1071" s="139" t="s">
        <v>513</v>
      </c>
      <c r="F1071" s="170" t="s">
        <v>270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264</v>
      </c>
      <c r="B1072" s="114" t="str">
        <f>VLOOKUP(A1072,'Data pick slip'!B:F,5,FALSE)</f>
        <v>KHJ-MC200-00</v>
      </c>
      <c r="E1072" s="139" t="s">
        <v>513</v>
      </c>
      <c r="F1072" s="170" t="s">
        <v>270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265</v>
      </c>
      <c r="B1073" s="114" t="str">
        <f>VLOOKUP(A1073,'Data pick slip'!B:F,5,FALSE)</f>
        <v>KHJ-MC400-00</v>
      </c>
      <c r="E1073" s="139" t="s">
        <v>513</v>
      </c>
      <c r="F1073" s="170" t="s">
        <v>270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266</v>
      </c>
      <c r="B1074" s="114" t="str">
        <f>VLOOKUP(A1074,'Data pick slip'!B:F,5,FALSE)</f>
        <v>KHJ-MC500-00</v>
      </c>
      <c r="E1074" s="139" t="s">
        <v>513</v>
      </c>
      <c r="F1074" s="170" t="s">
        <v>270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261</v>
      </c>
      <c r="B1075" s="114" t="str">
        <f>VLOOKUP(A1075,'Data pick slip'!B:F,5,FALSE)</f>
        <v>KHJ-MC100-00</v>
      </c>
      <c r="E1075" s="139" t="s">
        <v>514</v>
      </c>
      <c r="F1075" s="170" t="s">
        <v>270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264</v>
      </c>
      <c r="B1076" s="114" t="str">
        <f>VLOOKUP(A1076,'Data pick slip'!B:F,5,FALSE)</f>
        <v>KHJ-MC200-00</v>
      </c>
      <c r="E1076" s="139" t="s">
        <v>514</v>
      </c>
      <c r="F1076" s="170" t="s">
        <v>270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265</v>
      </c>
      <c r="B1077" s="114" t="str">
        <f>VLOOKUP(A1077,'Data pick slip'!B:F,5,FALSE)</f>
        <v>KHJ-MC400-00</v>
      </c>
      <c r="E1077" s="139" t="s">
        <v>514</v>
      </c>
      <c r="F1077" s="170" t="s">
        <v>270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266</v>
      </c>
      <c r="B1078" s="114" t="str">
        <f>VLOOKUP(A1078,'Data pick slip'!B:F,5,FALSE)</f>
        <v>KHJ-MC500-00</v>
      </c>
      <c r="E1078" s="139" t="s">
        <v>514</v>
      </c>
      <c r="F1078" s="170" t="s">
        <v>270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267</v>
      </c>
      <c r="B1079" s="114" t="str">
        <f>VLOOKUP(A1079,'Data pick slip'!B:F,5,FALSE)</f>
        <v>KHJ-MC600-00</v>
      </c>
      <c r="E1079" s="139" t="s">
        <v>514</v>
      </c>
      <c r="F1079" s="170" t="s">
        <v>270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268</v>
      </c>
      <c r="B1080" s="114" t="str">
        <f>VLOOKUP(A1080,'Data pick slip'!B:F,5,FALSE)</f>
        <v>KHJ-MC700-00</v>
      </c>
      <c r="E1080" s="139" t="s">
        <v>514</v>
      </c>
      <c r="F1080" s="170" t="s">
        <v>270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261</v>
      </c>
      <c r="B1081" s="114" t="str">
        <f>VLOOKUP(A1081,'Data pick slip'!B:F,5,FALSE)</f>
        <v>KHJ-MC100-00</v>
      </c>
      <c r="E1081" s="139" t="s">
        <v>515</v>
      </c>
      <c r="F1081" s="170" t="s">
        <v>270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264</v>
      </c>
      <c r="B1082" s="114" t="str">
        <f>VLOOKUP(A1082,'Data pick slip'!B:F,5,FALSE)</f>
        <v>KHJ-MC200-00</v>
      </c>
      <c r="E1082" s="139" t="s">
        <v>515</v>
      </c>
      <c r="F1082" s="170" t="s">
        <v>270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266</v>
      </c>
      <c r="B1083" s="114" t="str">
        <f>VLOOKUP(A1083,'Data pick slip'!B:F,5,FALSE)</f>
        <v>KHJ-MC500-00</v>
      </c>
      <c r="E1083" s="139" t="s">
        <v>515</v>
      </c>
      <c r="F1083" s="170" t="s">
        <v>270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261</v>
      </c>
      <c r="B1084" s="114" t="str">
        <f>VLOOKUP(A1084,'Data pick slip'!B:F,5,FALSE)</f>
        <v>KHJ-MC100-00</v>
      </c>
      <c r="E1084" s="139" t="s">
        <v>515</v>
      </c>
      <c r="F1084" s="170" t="s">
        <v>270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264</v>
      </c>
      <c r="B1085" s="114" t="str">
        <f>VLOOKUP(A1085,'Data pick slip'!B:F,5,FALSE)</f>
        <v>KHJ-MC200-00</v>
      </c>
      <c r="E1085" s="139" t="s">
        <v>515</v>
      </c>
      <c r="F1085" s="170" t="s">
        <v>270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265</v>
      </c>
      <c r="B1086" s="114" t="str">
        <f>VLOOKUP(A1086,'Data pick slip'!B:F,5,FALSE)</f>
        <v>KHJ-MC400-00</v>
      </c>
      <c r="E1086" s="139" t="s">
        <v>515</v>
      </c>
      <c r="F1086" s="170" t="s">
        <v>270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266</v>
      </c>
      <c r="B1087" s="114" t="str">
        <f>VLOOKUP(A1087,'Data pick slip'!B:F,5,FALSE)</f>
        <v>KHJ-MC500-00</v>
      </c>
      <c r="E1087" s="139" t="s">
        <v>515</v>
      </c>
      <c r="F1087" s="170" t="s">
        <v>270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261</v>
      </c>
      <c r="B1088" s="114" t="str">
        <f>VLOOKUP(A1088,'Data pick slip'!B:F,5,FALSE)</f>
        <v>KHJ-MC100-00</v>
      </c>
      <c r="C1088" s="169"/>
      <c r="D1088" s="169"/>
      <c r="E1088" s="139" t="s">
        <v>516</v>
      </c>
      <c r="F1088" s="170" t="s">
        <v>270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261</v>
      </c>
      <c r="B1089" s="114" t="str">
        <f>VLOOKUP(A1089,'Data pick slip'!B:F,5,FALSE)</f>
        <v>KHJ-MC100-00</v>
      </c>
      <c r="E1089" s="139" t="s">
        <v>517</v>
      </c>
      <c r="F1089" s="170" t="s">
        <v>270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264</v>
      </c>
      <c r="B1090" s="114" t="str">
        <f>VLOOKUP(A1090,'Data pick slip'!B:F,5,FALSE)</f>
        <v>KHJ-MC200-00</v>
      </c>
      <c r="E1090" s="139" t="s">
        <v>517</v>
      </c>
      <c r="F1090" s="170" t="s">
        <v>270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265</v>
      </c>
      <c r="B1091" s="114" t="str">
        <f>VLOOKUP(A1091,'Data pick slip'!B:F,5,FALSE)</f>
        <v>KHJ-MC400-00</v>
      </c>
      <c r="E1091" s="139" t="s">
        <v>517</v>
      </c>
      <c r="F1091" s="170" t="s">
        <v>270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261</v>
      </c>
      <c r="B1092" s="114" t="str">
        <f>VLOOKUP(A1092,'Data pick slip'!B:F,5,FALSE)</f>
        <v>KHJ-MC100-00</v>
      </c>
      <c r="E1092" s="139" t="s">
        <v>517</v>
      </c>
      <c r="F1092" s="170" t="s">
        <v>270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264</v>
      </c>
      <c r="B1093" s="114" t="str">
        <f>VLOOKUP(A1093,'Data pick slip'!B:F,5,FALSE)</f>
        <v>KHJ-MC200-00</v>
      </c>
      <c r="E1093" s="139" t="s">
        <v>517</v>
      </c>
      <c r="F1093" s="170" t="s">
        <v>270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265</v>
      </c>
      <c r="B1094" s="114" t="str">
        <f>VLOOKUP(A1094,'Data pick slip'!B:F,5,FALSE)</f>
        <v>KHJ-MC400-00</v>
      </c>
      <c r="E1094" s="139" t="s">
        <v>517</v>
      </c>
      <c r="F1094" s="170" t="s">
        <v>270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266</v>
      </c>
      <c r="B1095" s="114" t="str">
        <f>VLOOKUP(A1095,'Data pick slip'!B:F,5,FALSE)</f>
        <v>KHJ-MC500-00</v>
      </c>
      <c r="E1095" s="139" t="s">
        <v>517</v>
      </c>
      <c r="F1095" s="170" t="s">
        <v>270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267</v>
      </c>
      <c r="B1096" s="114" t="str">
        <f>VLOOKUP(A1096,'Data pick slip'!B:F,5,FALSE)</f>
        <v>KHJ-MC600-00</v>
      </c>
      <c r="E1096" s="139" t="s">
        <v>517</v>
      </c>
      <c r="F1096" s="170" t="s">
        <v>270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2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2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2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2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2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2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2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2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2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5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285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6" t="e">
        <f>VLOOKUP(C1107,Stock_list!D:L,9,FALSE)</f>
        <v>#N/A</v>
      </c>
      <c r="F1107" s="198" t="s">
        <v>375</v>
      </c>
      <c r="G1107" s="199"/>
      <c r="H1107" s="200"/>
      <c r="I1107" s="201" t="s">
        <v>518</v>
      </c>
      <c r="J1107" s="201" t="s">
        <v>519</v>
      </c>
      <c r="K1107" s="92" t="s">
        <v>520</v>
      </c>
      <c r="L1107" s="12"/>
      <c r="M1107" s="199">
        <v>5</v>
      </c>
      <c r="N1107" s="199"/>
      <c r="O1107" s="199"/>
      <c r="P1107" s="12" t="s">
        <v>214</v>
      </c>
      <c r="Q1107" s="202"/>
      <c r="R1107" s="202"/>
      <c r="S1107" s="203" t="s">
        <v>521</v>
      </c>
      <c r="T1107" s="204" t="s">
        <v>522</v>
      </c>
      <c r="U1107" s="145" t="e">
        <f>VLOOKUP(H1107,Stock_list!A:N,14,FALSE)</f>
        <v>#N/A</v>
      </c>
    </row>
    <row r="1108" spans="1:21" ht="16.5" customHeight="1">
      <c r="A1108" s="155" t="s">
        <v>285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375</v>
      </c>
      <c r="I1108" s="139" t="s">
        <v>523</v>
      </c>
      <c r="J1108" s="139" t="s">
        <v>524</v>
      </c>
      <c r="K1108" s="51" t="s">
        <v>520</v>
      </c>
      <c r="L1108" s="4"/>
      <c r="M1108" s="132">
        <v>20</v>
      </c>
      <c r="P1108" s="4" t="s">
        <v>214</v>
      </c>
      <c r="Q1108" s="143"/>
      <c r="R1108" s="143"/>
      <c r="S1108" s="123" t="s">
        <v>521</v>
      </c>
      <c r="T1108" s="144" t="s">
        <v>525</v>
      </c>
      <c r="U1108" s="145" t="e">
        <f>VLOOKUP(H1108,Stock_list!A:N,14,FALSE)</f>
        <v>#N/A</v>
      </c>
    </row>
    <row r="1109" spans="1:21" ht="16.5" customHeight="1">
      <c r="A1109" s="159" t="s">
        <v>264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375</v>
      </c>
      <c r="I1109" s="139" t="s">
        <v>523</v>
      </c>
      <c r="J1109" s="139" t="s">
        <v>524</v>
      </c>
      <c r="K1109" s="51" t="s">
        <v>520</v>
      </c>
      <c r="L1109" s="291" t="s">
        <v>526</v>
      </c>
      <c r="M1109" s="132">
        <v>2</v>
      </c>
      <c r="P1109" s="4" t="s">
        <v>214</v>
      </c>
      <c r="Q1109" s="143"/>
      <c r="R1109" s="143"/>
      <c r="S1109" s="123" t="s">
        <v>521</v>
      </c>
      <c r="T1109" s="144" t="s">
        <v>527</v>
      </c>
      <c r="U1109" s="145" t="e">
        <f>VLOOKUP(H1109,Stock_list!A:N,14,FALSE)</f>
        <v>#N/A</v>
      </c>
    </row>
    <row r="1110" spans="1:21" ht="16.5" customHeight="1">
      <c r="A1110" s="159" t="s">
        <v>264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375</v>
      </c>
      <c r="I1110" s="139" t="s">
        <v>528</v>
      </c>
      <c r="J1110" s="139" t="s">
        <v>529</v>
      </c>
      <c r="K1110" s="51" t="s">
        <v>520</v>
      </c>
      <c r="L1110" s="291" t="s">
        <v>526</v>
      </c>
      <c r="M1110" s="132">
        <v>5</v>
      </c>
      <c r="P1110" s="4" t="s">
        <v>214</v>
      </c>
      <c r="Q1110" s="143"/>
      <c r="R1110" s="143"/>
      <c r="S1110" s="123" t="s">
        <v>521</v>
      </c>
      <c r="T1110" s="144" t="s">
        <v>530</v>
      </c>
      <c r="U1110" s="145" t="e">
        <f>VLOOKUP(H1110,Stock_list!A:N,14,FALSE)</f>
        <v>#N/A</v>
      </c>
    </row>
    <row r="1111" spans="1:21" ht="16.5" customHeight="1">
      <c r="A1111" s="155" t="s">
        <v>265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375</v>
      </c>
      <c r="I1111" s="139" t="s">
        <v>531</v>
      </c>
      <c r="K1111" s="51" t="s">
        <v>520</v>
      </c>
      <c r="L1111" s="4" t="s">
        <v>532</v>
      </c>
      <c r="M1111" s="132">
        <v>2</v>
      </c>
      <c r="P1111" s="4" t="s">
        <v>214</v>
      </c>
      <c r="Q1111" s="143"/>
      <c r="R1111" s="143"/>
      <c r="S1111" s="123" t="s">
        <v>521</v>
      </c>
      <c r="T1111" s="144" t="s">
        <v>530</v>
      </c>
      <c r="U1111" s="145" t="e">
        <f>VLOOKUP(H1111,Stock_list!A:N,14,FALSE)</f>
        <v>#N/A</v>
      </c>
    </row>
    <row r="1112" spans="1:21" ht="16.5" customHeight="1">
      <c r="A1112" s="155" t="s">
        <v>265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375</v>
      </c>
      <c r="I1112" s="139" t="s">
        <v>371</v>
      </c>
      <c r="K1112" s="51"/>
      <c r="L1112" s="4" t="s">
        <v>532</v>
      </c>
      <c r="M1112" s="132">
        <v>4</v>
      </c>
      <c r="P1112" s="4" t="s">
        <v>214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285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378</v>
      </c>
      <c r="H1113" s="138">
        <v>104</v>
      </c>
      <c r="I1113" s="139" t="e">
        <f>VLOOKUP(H1113,Stock_list!A:R,18,FALSE)</f>
        <v>#N/A</v>
      </c>
      <c r="J1113" s="139" t="e">
        <f>VLOOKUP(H1113,Stock_list!A:S,17,FALSE)</f>
        <v>#N/A</v>
      </c>
      <c r="K1113" s="51" t="e">
        <f>VLOOKUP(H1113,Stock_list!A:T,16,FALSE)</f>
        <v>#N/A</v>
      </c>
      <c r="L1113" s="4"/>
      <c r="M1113" s="132">
        <v>40</v>
      </c>
      <c r="P1113" s="4" t="e">
        <f>VLOOKUP(H1113,Stock_list!A:Y,25,FALSE)</f>
        <v>#N/A</v>
      </c>
      <c r="Q1113" s="143"/>
      <c r="R1113" s="143"/>
      <c r="T1113" s="144"/>
      <c r="U1113" s="145" t="e">
        <f>VLOOKUP(H1113,Stock_list!A:N,14,FALSE)</f>
        <v>#N/A</v>
      </c>
    </row>
    <row r="1114" spans="1:21" ht="16.5" customHeight="1">
      <c r="A1114" s="159" t="s">
        <v>264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375</v>
      </c>
      <c r="H1114" s="138">
        <v>104</v>
      </c>
      <c r="I1114" s="139" t="e">
        <f>VLOOKUP(H1114,Stock_list!A:R,18,FALSE)</f>
        <v>#N/A</v>
      </c>
      <c r="J1114" s="139" t="e">
        <f>VLOOKUP(H1114,Stock_list!A:S,17,FALSE)</f>
        <v>#N/A</v>
      </c>
      <c r="K1114" s="51" t="e">
        <f>VLOOKUP(H1114,Stock_list!A:T,16,FALSE)</f>
        <v>#N/A</v>
      </c>
      <c r="L1114" s="291" t="s">
        <v>526</v>
      </c>
      <c r="M1114" s="132">
        <v>2</v>
      </c>
      <c r="P1114" s="4" t="e">
        <f>VLOOKUP(H1114,Stock_list!A:Y,25,FALSE)</f>
        <v>#N/A</v>
      </c>
      <c r="Q1114" s="143"/>
      <c r="R1114" s="143"/>
      <c r="S1114" s="123" t="s">
        <v>521</v>
      </c>
      <c r="T1114" s="144" t="s">
        <v>527</v>
      </c>
      <c r="U1114" s="145" t="e">
        <f>VLOOKUP(H1114,Stock_list!A:N,14,FALSE)</f>
        <v>#N/A</v>
      </c>
    </row>
    <row r="1115" spans="1:21" ht="14.25" customHeight="1">
      <c r="A1115" s="155" t="s">
        <v>285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378</v>
      </c>
      <c r="I1115" s="139" t="s">
        <v>533</v>
      </c>
      <c r="J1115" s="139" t="s">
        <v>534</v>
      </c>
      <c r="K1115" s="51" t="s">
        <v>225</v>
      </c>
      <c r="L1115" s="4"/>
      <c r="M1115" s="132">
        <v>95</v>
      </c>
      <c r="P1115" s="6" t="s">
        <v>214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264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378</v>
      </c>
      <c r="I1116" s="139" t="s">
        <v>533</v>
      </c>
      <c r="J1116" s="139" t="s">
        <v>534</v>
      </c>
      <c r="K1116" s="51" t="s">
        <v>225</v>
      </c>
      <c r="L1116" s="4"/>
      <c r="M1116" s="132">
        <v>60</v>
      </c>
      <c r="P1116" s="6" t="s">
        <v>214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265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378</v>
      </c>
      <c r="I1117" s="139" t="s">
        <v>533</v>
      </c>
      <c r="J1117" s="139" t="s">
        <v>534</v>
      </c>
      <c r="K1117" s="51" t="s">
        <v>225</v>
      </c>
      <c r="L1117" s="4"/>
      <c r="M1117" s="132">
        <v>22</v>
      </c>
      <c r="P1117" s="6" t="s">
        <v>214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266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378</v>
      </c>
      <c r="I1118" s="139" t="s">
        <v>533</v>
      </c>
      <c r="J1118" s="139" t="s">
        <v>534</v>
      </c>
      <c r="K1118" s="51" t="s">
        <v>225</v>
      </c>
      <c r="L1118" s="4"/>
      <c r="M1118" s="132">
        <v>11</v>
      </c>
      <c r="P1118" s="6" t="s">
        <v>214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267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378</v>
      </c>
      <c r="I1119" s="139" t="s">
        <v>533</v>
      </c>
      <c r="J1119" s="139" t="s">
        <v>534</v>
      </c>
      <c r="K1119" s="51" t="s">
        <v>225</v>
      </c>
      <c r="L1119" s="4"/>
      <c r="M1119" s="132">
        <v>1</v>
      </c>
      <c r="P1119" s="6" t="s">
        <v>214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285</v>
      </c>
      <c r="B1120" s="114" t="str">
        <f>VLOOKUP(A1120,'Data pick slip'!B:F,5,FALSE)</f>
        <v>KHJ-MC100-00</v>
      </c>
      <c r="C1120" s="156" t="s">
        <v>173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375</v>
      </c>
      <c r="I1120" s="139" t="s">
        <v>371</v>
      </c>
      <c r="J1120" s="139" t="s">
        <v>535</v>
      </c>
      <c r="K1120" s="51" t="s">
        <v>225</v>
      </c>
      <c r="L1120" s="4"/>
      <c r="M1120" s="132">
        <v>50</v>
      </c>
      <c r="P1120" s="6" t="s">
        <v>214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264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375</v>
      </c>
      <c r="I1121" s="139" t="s">
        <v>371</v>
      </c>
      <c r="J1121" s="139" t="s">
        <v>536</v>
      </c>
      <c r="K1121" s="51" t="s">
        <v>225</v>
      </c>
      <c r="L1121" s="291" t="s">
        <v>526</v>
      </c>
      <c r="M1121" s="132">
        <v>8</v>
      </c>
      <c r="P1121" s="6" t="s">
        <v>214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274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375</v>
      </c>
      <c r="I1122" s="139" t="s">
        <v>371</v>
      </c>
      <c r="J1122" s="139" t="s">
        <v>537</v>
      </c>
      <c r="K1122" s="51" t="s">
        <v>225</v>
      </c>
      <c r="L1122" s="4"/>
      <c r="M1122" s="132">
        <v>3</v>
      </c>
      <c r="P1122" s="6" t="s">
        <v>214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285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290</v>
      </c>
      <c r="H1123" s="138">
        <v>5</v>
      </c>
      <c r="I1123" s="139" t="s">
        <v>371</v>
      </c>
      <c r="J1123" s="139" t="s">
        <v>538</v>
      </c>
      <c r="K1123" s="51" t="s">
        <v>520</v>
      </c>
      <c r="L1123" s="4">
        <v>43915</v>
      </c>
      <c r="O1123" s="132">
        <f>27-27</f>
        <v>0</v>
      </c>
      <c r="P1123" s="4" t="s">
        <v>214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285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375</v>
      </c>
      <c r="H1124" s="138">
        <v>10</v>
      </c>
      <c r="I1124" s="139" t="s">
        <v>371</v>
      </c>
      <c r="J1124" s="139" t="s">
        <v>539</v>
      </c>
      <c r="K1124" s="51" t="s">
        <v>520</v>
      </c>
      <c r="L1124" s="4" t="s">
        <v>532</v>
      </c>
      <c r="M1124" s="132">
        <v>75</v>
      </c>
      <c r="P1124" s="4" t="s">
        <v>214</v>
      </c>
      <c r="Q1124" s="143"/>
      <c r="R1124" s="143"/>
      <c r="S1124" s="123" t="s">
        <v>521</v>
      </c>
      <c r="T1124" s="205" t="s">
        <v>540</v>
      </c>
      <c r="U1124" s="145" t="e">
        <f>VLOOKUP(H1124,Stock_list!A:N,14,FALSE)</f>
        <v>#N/A</v>
      </c>
    </row>
    <row r="1125" spans="1:21" ht="16.5" customHeight="1">
      <c r="A1125" s="159" t="s">
        <v>326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375</v>
      </c>
      <c r="H1125" s="138">
        <v>10</v>
      </c>
      <c r="I1125" s="139" t="s">
        <v>371</v>
      </c>
      <c r="J1125" s="139" t="s">
        <v>539</v>
      </c>
      <c r="K1125" s="51" t="s">
        <v>520</v>
      </c>
      <c r="L1125" s="4" t="s">
        <v>532</v>
      </c>
      <c r="M1125" s="132">
        <v>10</v>
      </c>
      <c r="P1125" s="4" t="s">
        <v>214</v>
      </c>
      <c r="Q1125" s="143"/>
      <c r="R1125" s="143"/>
      <c r="S1125" s="123" t="s">
        <v>521</v>
      </c>
      <c r="T1125" s="205" t="s">
        <v>540</v>
      </c>
      <c r="U1125" s="145" t="e">
        <f>VLOOKUP(H1125,Stock_list!A:N,14,FALSE)</f>
        <v>#N/A</v>
      </c>
    </row>
    <row r="1126" spans="1:21" ht="16.5" customHeight="1">
      <c r="A1126" s="155" t="s">
        <v>265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375</v>
      </c>
      <c r="H1126" s="138">
        <v>10</v>
      </c>
      <c r="I1126" s="139" t="s">
        <v>371</v>
      </c>
      <c r="J1126" s="139" t="s">
        <v>539</v>
      </c>
      <c r="K1126" s="51" t="s">
        <v>520</v>
      </c>
      <c r="L1126" s="4" t="s">
        <v>532</v>
      </c>
      <c r="M1126" s="132">
        <v>2</v>
      </c>
      <c r="P1126" s="4" t="s">
        <v>214</v>
      </c>
      <c r="Q1126" s="143"/>
      <c r="R1126" s="143"/>
      <c r="S1126" s="123" t="s">
        <v>521</v>
      </c>
      <c r="T1126" s="205" t="s">
        <v>540</v>
      </c>
      <c r="U1126" s="145" t="e">
        <f>VLOOKUP(H1126,Stock_list!A:N,14,FALSE)</f>
        <v>#N/A</v>
      </c>
    </row>
    <row r="1127" spans="1:21" ht="16.5" customHeight="1">
      <c r="A1127" s="155" t="s">
        <v>266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375</v>
      </c>
      <c r="H1127" s="138">
        <v>10</v>
      </c>
      <c r="I1127" s="139" t="s">
        <v>371</v>
      </c>
      <c r="J1127" s="139" t="s">
        <v>539</v>
      </c>
      <c r="K1127" s="51" t="s">
        <v>520</v>
      </c>
      <c r="L1127" s="4" t="s">
        <v>532</v>
      </c>
      <c r="M1127" s="132">
        <v>1</v>
      </c>
      <c r="P1127" s="4" t="s">
        <v>214</v>
      </c>
      <c r="Q1127" s="143"/>
      <c r="R1127" s="143"/>
      <c r="S1127" s="123" t="s">
        <v>521</v>
      </c>
      <c r="T1127" s="205" t="s">
        <v>540</v>
      </c>
      <c r="U1127" s="145" t="e">
        <f>VLOOKUP(H1127,Stock_list!A:N,14,FALSE)</f>
        <v>#N/A</v>
      </c>
    </row>
    <row r="1128" spans="1:21" ht="16.5" customHeight="1">
      <c r="A1128" s="155" t="s">
        <v>267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375</v>
      </c>
      <c r="H1128" s="138">
        <v>10</v>
      </c>
      <c r="I1128" s="139" t="s">
        <v>371</v>
      </c>
      <c r="J1128" s="139" t="s">
        <v>539</v>
      </c>
      <c r="K1128" s="51" t="s">
        <v>520</v>
      </c>
      <c r="L1128" s="4" t="s">
        <v>532</v>
      </c>
      <c r="M1128" s="132">
        <v>1</v>
      </c>
      <c r="P1128" s="4" t="s">
        <v>214</v>
      </c>
      <c r="Q1128" s="143"/>
      <c r="R1128" s="143"/>
      <c r="S1128" s="123" t="s">
        <v>521</v>
      </c>
      <c r="T1128" s="205" t="s">
        <v>540</v>
      </c>
      <c r="U1128" s="145" t="e">
        <f>VLOOKUP(H1128,Stock_list!A:N,14,FALSE)</f>
        <v>#N/A</v>
      </c>
    </row>
    <row r="1129" spans="1:21" ht="16.5" customHeight="1">
      <c r="A1129" s="155" t="s">
        <v>285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375</v>
      </c>
      <c r="H1129" s="138">
        <v>80</v>
      </c>
      <c r="I1129" s="139" t="e">
        <f>VLOOKUP(H1129,Stock_list!A:R,18,FALSE)</f>
        <v>#N/A</v>
      </c>
      <c r="J1129" s="139" t="e">
        <f>VLOOKUP(H1129,Stock_list!A:S,17,FALSE)</f>
        <v>#N/A</v>
      </c>
      <c r="K1129" s="51" t="e">
        <f>VLOOKUP(H1129,Stock_list!A:T,16,FALSE)</f>
        <v>#N/A</v>
      </c>
      <c r="L1129" s="4"/>
      <c r="O1129" s="132">
        <f>150-150</f>
        <v>0</v>
      </c>
      <c r="P1129" s="4" t="e">
        <f>VLOOKUP(H1129,Stock_list!A:Y,25,FALSE)</f>
        <v>#N/A</v>
      </c>
      <c r="Q1129" s="143"/>
      <c r="R1129" s="143"/>
      <c r="T1129" s="144"/>
      <c r="U1129" s="145" t="e">
        <f>VLOOKUP(H1129,Stock_list!A:N,14,FALSE)</f>
        <v>#N/A</v>
      </c>
    </row>
    <row r="1130" spans="1:21" ht="16.5" customHeight="1">
      <c r="A1130" s="159" t="s">
        <v>264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375</v>
      </c>
      <c r="H1130" s="138">
        <v>80</v>
      </c>
      <c r="I1130" s="139" t="e">
        <f>VLOOKUP(H1130,Stock_list!A:R,18,FALSE)</f>
        <v>#N/A</v>
      </c>
      <c r="J1130" s="139" t="e">
        <f>VLOOKUP(H1130,Stock_list!A:S,17,FALSE)</f>
        <v>#N/A</v>
      </c>
      <c r="K1130" s="51" t="e">
        <f>VLOOKUP(H1130,Stock_list!A:T,16,FALSE)</f>
        <v>#N/A</v>
      </c>
      <c r="L1130" s="291" t="s">
        <v>526</v>
      </c>
      <c r="O1130" s="132">
        <f>10-10</f>
        <v>0</v>
      </c>
      <c r="P1130" s="4" t="e">
        <f>VLOOKUP(H1130,Stock_list!A:Y,25,FALSE)</f>
        <v>#N/A</v>
      </c>
      <c r="Q1130" s="143"/>
      <c r="R1130" s="143"/>
      <c r="T1130" s="144"/>
      <c r="U1130" s="145" t="e">
        <f>VLOOKUP(H1130,Stock_list!A:N,14,FALSE)</f>
        <v>#N/A</v>
      </c>
    </row>
    <row r="1131" spans="1:21" ht="16.5" customHeight="1">
      <c r="A1131" s="155" t="s">
        <v>285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378</v>
      </c>
      <c r="H1131" s="138">
        <v>96</v>
      </c>
      <c r="I1131" s="139" t="e">
        <f>VLOOKUP(H1131,Stock_list!A:R,18,FALSE)</f>
        <v>#N/A</v>
      </c>
      <c r="J1131" s="139" t="e">
        <f>VLOOKUP(H1131,Stock_list!A:S,17,FALSE)</f>
        <v>#N/A</v>
      </c>
      <c r="K1131" s="51" t="e">
        <f>VLOOKUP(H1131,Stock_list!A:T,16,FALSE)</f>
        <v>#N/A</v>
      </c>
      <c r="L1131" s="4"/>
      <c r="M1131" s="132">
        <v>60</v>
      </c>
      <c r="P1131" s="4" t="e">
        <f>VLOOKUP(H1131,Stock_list!A:Y,25,FALSE)</f>
        <v>#N/A</v>
      </c>
      <c r="Q1131" s="143"/>
      <c r="R1131" s="143"/>
      <c r="T1131" s="144"/>
      <c r="U1131" s="145" t="e">
        <f>VLOOKUP(H1131,Stock_list!A:N,14,FALSE)</f>
        <v>#N/A</v>
      </c>
    </row>
    <row r="1132" spans="1:21" ht="16.5" customHeight="1">
      <c r="A1132" s="159" t="s">
        <v>264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378</v>
      </c>
      <c r="H1132" s="138">
        <v>96</v>
      </c>
      <c r="I1132" s="139" t="e">
        <f>VLOOKUP(H1132,Stock_list!A:R,18,FALSE)</f>
        <v>#N/A</v>
      </c>
      <c r="J1132" s="139" t="e">
        <f>VLOOKUP(H1132,Stock_list!A:S,17,FALSE)</f>
        <v>#N/A</v>
      </c>
      <c r="K1132" s="51" t="e">
        <f>VLOOKUP(H1132,Stock_list!A:T,16,FALSE)</f>
        <v>#N/A</v>
      </c>
      <c r="L1132" s="4"/>
      <c r="M1132" s="132">
        <v>10</v>
      </c>
      <c r="P1132" s="4" t="e">
        <f>VLOOKUP(H1132,Stock_list!A:Y,25,FALSE)</f>
        <v>#N/A</v>
      </c>
      <c r="Q1132" s="143"/>
      <c r="R1132" s="143"/>
      <c r="T1132" s="144"/>
      <c r="U1132" s="145" t="e">
        <f>VLOOKUP(H1132,Stock_list!A:N,14,FALSE)</f>
        <v>#N/A</v>
      </c>
    </row>
    <row r="1133" spans="1:21" ht="16.5" customHeight="1">
      <c r="A1133" s="155" t="s">
        <v>265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378</v>
      </c>
      <c r="H1133" s="138">
        <v>96</v>
      </c>
      <c r="I1133" s="139" t="e">
        <f>VLOOKUP(H1133,Stock_list!A:R,18,FALSE)</f>
        <v>#N/A</v>
      </c>
      <c r="J1133" s="139" t="e">
        <f>VLOOKUP(H1133,Stock_list!A:S,17,FALSE)</f>
        <v>#N/A</v>
      </c>
      <c r="K1133" s="51" t="e">
        <f>VLOOKUP(H1133,Stock_list!A:T,16,FALSE)</f>
        <v>#N/A</v>
      </c>
      <c r="L1133" s="4"/>
      <c r="M1133" s="132">
        <v>5</v>
      </c>
      <c r="P1133" s="4" t="e">
        <f>VLOOKUP(H1133,Stock_list!A:Y,25,FALSE)</f>
        <v>#N/A</v>
      </c>
      <c r="Q1133" s="143"/>
      <c r="R1133" s="143"/>
      <c r="T1133" s="144"/>
      <c r="U1133" s="145" t="e">
        <f>VLOOKUP(H1133,Stock_list!A:N,14,FALSE)</f>
        <v>#N/A</v>
      </c>
    </row>
    <row r="1134" spans="1:21" ht="16.5" customHeight="1">
      <c r="A1134" s="155" t="s">
        <v>285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378</v>
      </c>
      <c r="H1134" s="138">
        <v>145</v>
      </c>
      <c r="I1134" s="139" t="e">
        <f>VLOOKUP(H1134,Stock_list!A:R,18,FALSE)</f>
        <v>#N/A</v>
      </c>
      <c r="J1134" s="139" t="e">
        <f>VLOOKUP(H1134,Stock_list!A:S,17,FALSE)</f>
        <v>#N/A</v>
      </c>
      <c r="K1134" s="51" t="e">
        <f>VLOOKUP(H1134,Stock_list!A:T,16,FALSE)</f>
        <v>#N/A</v>
      </c>
      <c r="L1134" s="4"/>
      <c r="M1134" s="132">
        <v>105</v>
      </c>
      <c r="P1134" s="4" t="e">
        <f>VLOOKUP(H1134,Stock_list!A:Y,25,FALSE)</f>
        <v>#N/A</v>
      </c>
      <c r="Q1134" s="143"/>
      <c r="R1134" s="143"/>
      <c r="T1134" s="144"/>
      <c r="U1134" s="145" t="e">
        <f>VLOOKUP(H1134,Stock_list!A:N,14,FALSE)</f>
        <v>#N/A</v>
      </c>
    </row>
    <row r="1135" spans="1:21" ht="16.5" customHeight="1">
      <c r="A1135" s="159" t="s">
        <v>264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378</v>
      </c>
      <c r="H1135" s="138">
        <v>145</v>
      </c>
      <c r="I1135" s="139" t="e">
        <f>VLOOKUP(H1135,Stock_list!A:R,18,FALSE)</f>
        <v>#N/A</v>
      </c>
      <c r="J1135" s="139" t="e">
        <f>VLOOKUP(H1135,Stock_list!A:S,17,FALSE)</f>
        <v>#N/A</v>
      </c>
      <c r="K1135" s="51" t="e">
        <f>VLOOKUP(H1135,Stock_list!A:T,16,FALSE)</f>
        <v>#N/A</v>
      </c>
      <c r="L1135" s="4"/>
      <c r="M1135" s="132">
        <v>10</v>
      </c>
      <c r="P1135" s="4" t="e">
        <f>VLOOKUP(H1135,Stock_list!A:Y,25,FALSE)</f>
        <v>#N/A</v>
      </c>
      <c r="Q1135" s="143"/>
      <c r="R1135" s="143"/>
      <c r="T1135" s="144"/>
      <c r="U1135" s="145" t="e">
        <f>VLOOKUP(H1135,Stock_list!A:N,14,FALSE)</f>
        <v>#N/A</v>
      </c>
    </row>
    <row r="1136" spans="1:21">
      <c r="A1136" s="155" t="s">
        <v>265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375</v>
      </c>
      <c r="H1136" s="138">
        <v>145</v>
      </c>
      <c r="I1136" s="139" t="e">
        <f>VLOOKUP(H1136,Stock_list!A:R,18,FALSE)</f>
        <v>#N/A</v>
      </c>
      <c r="J1136" s="139" t="e">
        <f>VLOOKUP(H1136,Stock_list!A:S,17,FALSE)</f>
        <v>#N/A</v>
      </c>
      <c r="K1136" s="51" t="e">
        <f>VLOOKUP(H1136,Stock_list!A:T,16,FALSE)</f>
        <v>#N/A</v>
      </c>
      <c r="L1136" s="4" t="s">
        <v>532</v>
      </c>
      <c r="M1136" s="132">
        <v>2</v>
      </c>
      <c r="P1136" s="4" t="e">
        <f>VLOOKUP(H1136,Stock_list!A:Y,25,FALSE)</f>
        <v>#N/A</v>
      </c>
      <c r="Q1136" s="143"/>
      <c r="R1136" s="143"/>
      <c r="S1136" s="123" t="s">
        <v>521</v>
      </c>
      <c r="T1136" s="144" t="s">
        <v>541</v>
      </c>
      <c r="U1136" s="145" t="e">
        <f>VLOOKUP(H1136,Stock_list!A:N,14,FALSE)</f>
        <v>#N/A</v>
      </c>
    </row>
    <row r="1137" spans="1:21">
      <c r="A1137" s="155" t="s">
        <v>266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375</v>
      </c>
      <c r="H1137" s="138">
        <v>145</v>
      </c>
      <c r="I1137" s="139" t="e">
        <f>VLOOKUP(H1137,Stock_list!A:R,18,FALSE)</f>
        <v>#N/A</v>
      </c>
      <c r="J1137" s="139" t="e">
        <f>VLOOKUP(H1137,Stock_list!A:S,17,FALSE)</f>
        <v>#N/A</v>
      </c>
      <c r="K1137" s="51" t="e">
        <f>VLOOKUP(H1137,Stock_list!A:T,16,FALSE)</f>
        <v>#N/A</v>
      </c>
      <c r="L1137" s="4"/>
      <c r="M1137" s="132">
        <v>1</v>
      </c>
      <c r="P1137" s="4" t="e">
        <f>VLOOKUP(H1137,Stock_list!A:Y,25,FALSE)</f>
        <v>#N/A</v>
      </c>
      <c r="Q1137" s="143"/>
      <c r="R1137" s="143"/>
      <c r="S1137" s="123" t="s">
        <v>521</v>
      </c>
      <c r="T1137" s="144" t="s">
        <v>527</v>
      </c>
      <c r="U1137" s="145" t="e">
        <f>VLOOKUP(H1137,Stock_list!A:N,14,FALSE)</f>
        <v>#N/A</v>
      </c>
    </row>
    <row r="1138" spans="1:21" ht="16.5" customHeight="1">
      <c r="A1138" s="155" t="s">
        <v>285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375</v>
      </c>
      <c r="H1138" s="138">
        <v>142</v>
      </c>
      <c r="I1138" s="139" t="e">
        <f>VLOOKUP(H1138,Stock_list!A:R,18,FALSE)</f>
        <v>#N/A</v>
      </c>
      <c r="J1138" s="139" t="e">
        <f>VLOOKUP(H1138,Stock_list!A:S,17,FALSE)</f>
        <v>#N/A</v>
      </c>
      <c r="K1138" s="51" t="e">
        <f>VLOOKUP(H1138,Stock_list!A:T,16,FALSE)</f>
        <v>#N/A</v>
      </c>
      <c r="L1138" s="4"/>
      <c r="M1138" s="132">
        <v>20</v>
      </c>
      <c r="P1138" s="4" t="e">
        <f>VLOOKUP(H1138,Stock_list!A:Y,25,FALSE)</f>
        <v>#N/A</v>
      </c>
      <c r="Q1138" s="133"/>
      <c r="R1138" s="143"/>
      <c r="T1138" s="144"/>
      <c r="U1138" s="145" t="e">
        <f>VLOOKUP(H1138,Stock_list!A:N,14,FALSE)</f>
        <v>#N/A</v>
      </c>
    </row>
    <row r="1139" spans="1:21" ht="16.5" customHeight="1">
      <c r="A1139" s="159" t="s">
        <v>264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375</v>
      </c>
      <c r="H1139" s="138">
        <v>142</v>
      </c>
      <c r="I1139" s="139" t="e">
        <f>VLOOKUP(H1139,Stock_list!A:R,18,FALSE)</f>
        <v>#N/A</v>
      </c>
      <c r="J1139" s="139" t="e">
        <f>VLOOKUP(H1139,Stock_list!A:S,17,FALSE)</f>
        <v>#N/A</v>
      </c>
      <c r="K1139" s="51" t="e">
        <f>VLOOKUP(H1139,Stock_list!A:T,16,FALSE)</f>
        <v>#N/A</v>
      </c>
      <c r="L1139" s="291" t="s">
        <v>526</v>
      </c>
      <c r="M1139" s="132">
        <v>10</v>
      </c>
      <c r="P1139" s="4" t="e">
        <f>VLOOKUP(H1139,Stock_list!A:Y,25,FALSE)</f>
        <v>#N/A</v>
      </c>
      <c r="Q1139" s="133"/>
      <c r="R1139" s="143"/>
      <c r="T1139" s="144"/>
      <c r="U1139" s="145" t="e">
        <f>VLOOKUP(H1139,Stock_list!A:N,14,FALSE)</f>
        <v>#N/A</v>
      </c>
    </row>
    <row r="1140" spans="1:21" ht="16.5" customHeight="1">
      <c r="A1140" s="155" t="s">
        <v>265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375</v>
      </c>
      <c r="H1140" s="138">
        <v>142</v>
      </c>
      <c r="I1140" s="139" t="e">
        <f>VLOOKUP(H1140,Stock_list!A:R,18,FALSE)</f>
        <v>#N/A</v>
      </c>
      <c r="J1140" s="139" t="e">
        <f>VLOOKUP(H1140,Stock_list!A:S,17,FALSE)</f>
        <v>#N/A</v>
      </c>
      <c r="K1140" s="51" t="e">
        <f>VLOOKUP(H1140,Stock_list!A:T,16,FALSE)</f>
        <v>#N/A</v>
      </c>
      <c r="L1140" s="4" t="s">
        <v>532</v>
      </c>
      <c r="M1140" s="132">
        <v>10</v>
      </c>
      <c r="P1140" s="4" t="e">
        <f>VLOOKUP(H1140,Stock_list!A:Y,25,FALSE)</f>
        <v>#N/A</v>
      </c>
      <c r="Q1140" s="133"/>
      <c r="R1140" s="143"/>
      <c r="T1140" s="144"/>
      <c r="U1140" s="145" t="e">
        <f>VLOOKUP(H1140,Stock_list!A:N,14,FALSE)</f>
        <v>#N/A</v>
      </c>
    </row>
    <row r="1141" spans="1:21" ht="16.5" customHeight="1">
      <c r="A1141" s="155" t="s">
        <v>266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375</v>
      </c>
      <c r="H1141" s="138">
        <v>142</v>
      </c>
      <c r="I1141" s="139" t="e">
        <f>VLOOKUP(H1141,Stock_list!A:R,18,FALSE)</f>
        <v>#N/A</v>
      </c>
      <c r="J1141" s="139" t="e">
        <f>VLOOKUP(H1141,Stock_list!A:S,17,FALSE)</f>
        <v>#N/A</v>
      </c>
      <c r="K1141" s="51" t="e">
        <f>VLOOKUP(H1141,Stock_list!A:T,16,FALSE)</f>
        <v>#N/A</v>
      </c>
      <c r="L1141" s="4"/>
      <c r="M1141" s="132">
        <v>4</v>
      </c>
      <c r="P1141" s="4" t="e">
        <f>VLOOKUP(H1141,Stock_list!A:Y,25,FALSE)</f>
        <v>#N/A</v>
      </c>
      <c r="Q1141" s="133"/>
      <c r="R1141" s="143"/>
      <c r="T1141" s="144"/>
      <c r="U1141" s="145" t="e">
        <f>VLOOKUP(H1141,Stock_list!A:N,14,FALSE)</f>
        <v>#N/A</v>
      </c>
    </row>
    <row r="1142" spans="1:21" ht="16.5" customHeight="1">
      <c r="A1142" s="155" t="s">
        <v>267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375</v>
      </c>
      <c r="H1142" s="138">
        <v>142</v>
      </c>
      <c r="I1142" s="139" t="e">
        <f>VLOOKUP(H1142,Stock_list!A:R,18,FALSE)</f>
        <v>#N/A</v>
      </c>
      <c r="J1142" s="139" t="e">
        <f>VLOOKUP(H1142,Stock_list!A:S,17,FALSE)</f>
        <v>#N/A</v>
      </c>
      <c r="K1142" s="51" t="e">
        <f>VLOOKUP(H1142,Stock_list!A:T,16,FALSE)</f>
        <v>#N/A</v>
      </c>
      <c r="L1142" s="4"/>
      <c r="M1142" s="132">
        <v>2</v>
      </c>
      <c r="P1142" s="4" t="e">
        <f>VLOOKUP(H1142,Stock_list!A:Y,25,FALSE)</f>
        <v>#N/A</v>
      </c>
      <c r="Q1142" s="133"/>
      <c r="R1142" s="143"/>
      <c r="T1142" s="144"/>
      <c r="U1142" s="145" t="e">
        <f>VLOOKUP(H1142,Stock_list!A:N,14,FALSE)</f>
        <v>#N/A</v>
      </c>
    </row>
    <row r="1143" spans="1:21" ht="16.5" customHeight="1">
      <c r="A1143" s="155" t="s">
        <v>285</v>
      </c>
      <c r="B1143" s="114" t="str">
        <f>VLOOKUP(A1143,'Data pick slip'!B:F,5,FALSE)</f>
        <v>KHJ-MC100-00</v>
      </c>
      <c r="C1143" s="156">
        <v>109263</v>
      </c>
      <c r="E1143" s="160" t="e">
        <f>VLOOKUP(C1143,Stock_list!D:L,9,FALSE)</f>
        <v>#N/A</v>
      </c>
      <c r="F1143" s="157" t="s">
        <v>379</v>
      </c>
      <c r="H1143" s="138">
        <v>42</v>
      </c>
      <c r="I1143" s="139" t="e">
        <f>VLOOKUP(H1143,Stock_list!A:R,18,FALSE)</f>
        <v>#N/A</v>
      </c>
      <c r="J1143" s="139" t="e">
        <f>VLOOKUP(H1143,Stock_list!A:S,17,FALSE)</f>
        <v>#N/A</v>
      </c>
      <c r="K1143" s="51" t="e">
        <f>VLOOKUP(H1143,Stock_list!A:T,16,FALSE)</f>
        <v>#N/A</v>
      </c>
      <c r="L1143" s="4">
        <v>43552</v>
      </c>
      <c r="M1143" s="132">
        <v>40</v>
      </c>
      <c r="P1143" s="4" t="e">
        <f>VLOOKUP(H1143,Stock_list!A:Y,25,FALSE)</f>
        <v>#N/A</v>
      </c>
      <c r="Q1143" s="133"/>
      <c r="R1143" s="143"/>
      <c r="T1143" s="144"/>
      <c r="U1143" s="145" t="e">
        <f>VLOOKUP(H1143,Stock_list!A:N,14,FALSE)</f>
        <v>#N/A</v>
      </c>
    </row>
    <row r="1144" spans="1:21" ht="16.5" customHeight="1">
      <c r="A1144" s="159" t="s">
        <v>264</v>
      </c>
      <c r="B1144" s="114" t="str">
        <f>VLOOKUP(A1144,'Data pick slip'!B:F,5,FALSE)</f>
        <v>KHJ-MC200-00</v>
      </c>
      <c r="C1144" s="156">
        <v>109263</v>
      </c>
      <c r="E1144" s="160" t="e">
        <f>VLOOKUP(C1144,Stock_list!D:L,9,FALSE)</f>
        <v>#N/A</v>
      </c>
      <c r="F1144" s="157" t="s">
        <v>379</v>
      </c>
      <c r="H1144" s="138">
        <v>42</v>
      </c>
      <c r="I1144" s="139" t="e">
        <f>VLOOKUP(H1144,Stock_list!A:R,18,FALSE)</f>
        <v>#N/A</v>
      </c>
      <c r="J1144" s="139" t="e">
        <f>VLOOKUP(H1144,Stock_list!A:S,17,FALSE)</f>
        <v>#N/A</v>
      </c>
      <c r="K1144" s="51" t="e">
        <f>VLOOKUP(H1144,Stock_list!A:T,16,FALSE)</f>
        <v>#N/A</v>
      </c>
      <c r="L1144" s="4">
        <v>43552</v>
      </c>
      <c r="M1144" s="132">
        <v>8</v>
      </c>
      <c r="P1144" s="4" t="e">
        <f>VLOOKUP(H1144,Stock_list!A:Y,25,FALSE)</f>
        <v>#N/A</v>
      </c>
      <c r="Q1144" s="133"/>
      <c r="R1144" s="143"/>
      <c r="T1144" s="144"/>
      <c r="U1144" s="145" t="e">
        <f>VLOOKUP(H1144,Stock_list!A:N,14,FALSE)</f>
        <v>#N/A</v>
      </c>
    </row>
    <row r="1145" spans="1:21" ht="16.5" customHeight="1">
      <c r="A1145" s="155" t="s">
        <v>265</v>
      </c>
      <c r="B1145" s="114" t="str">
        <f>VLOOKUP(A1145,'Data pick slip'!B:F,5,FALSE)</f>
        <v>KHJ-MC400-00</v>
      </c>
      <c r="C1145" s="156">
        <v>109295</v>
      </c>
      <c r="E1145" s="160" t="e">
        <f>VLOOKUP(C1145,Stock_list!D:L,9,FALSE)</f>
        <v>#N/A</v>
      </c>
      <c r="F1145" s="157" t="s">
        <v>379</v>
      </c>
      <c r="H1145" s="138">
        <v>42</v>
      </c>
      <c r="I1145" s="139" t="e">
        <f>VLOOKUP(H1145,Stock_list!A:R,18,FALSE)</f>
        <v>#N/A</v>
      </c>
      <c r="J1145" s="139" t="e">
        <f>VLOOKUP(H1145,Stock_list!A:S,17,FALSE)</f>
        <v>#N/A</v>
      </c>
      <c r="K1145" s="51" t="e">
        <f>VLOOKUP(H1145,Stock_list!A:T,16,FALSE)</f>
        <v>#N/A</v>
      </c>
      <c r="L1145" s="4">
        <v>43552</v>
      </c>
      <c r="M1145" s="132">
        <v>2</v>
      </c>
      <c r="P1145" s="4" t="e">
        <f>VLOOKUP(H1145,Stock_list!A:Y,25,FALSE)</f>
        <v>#N/A</v>
      </c>
      <c r="Q1145" s="133"/>
      <c r="R1145" s="143"/>
      <c r="T1145" s="144"/>
      <c r="U1145" s="145" t="e">
        <f>VLOOKUP(H1145,Stock_list!A:N,14,FALSE)</f>
        <v>#N/A</v>
      </c>
    </row>
    <row r="1146" spans="1:21" ht="16.5" customHeight="1">
      <c r="A1146" s="155" t="s">
        <v>285</v>
      </c>
      <c r="B1146" s="114" t="str">
        <f>VLOOKUP(A1146,'Data pick slip'!B:F,5,FALSE)</f>
        <v>KHJ-MC100-00</v>
      </c>
      <c r="C1146" s="156">
        <v>109423</v>
      </c>
      <c r="E1146" s="160" t="e">
        <f>VLOOKUP(C1146,Stock_list!D:L,9,FALSE)</f>
        <v>#N/A</v>
      </c>
      <c r="F1146" s="157" t="s">
        <v>379</v>
      </c>
      <c r="H1146" s="128">
        <v>101</v>
      </c>
      <c r="I1146" s="139" t="e">
        <f>VLOOKUP(H1146,Stock_list!A:R,18,FALSE)</f>
        <v>#N/A</v>
      </c>
      <c r="J1146" s="139" t="e">
        <f>VLOOKUP(H1146,Stock_list!A:S,17,FALSE)</f>
        <v>#N/A</v>
      </c>
      <c r="K1146" s="51" t="e">
        <f>VLOOKUP(H1146,Stock_list!A:T,16,FALSE)</f>
        <v>#N/A</v>
      </c>
      <c r="L1146" s="4"/>
      <c r="M1146" s="132">
        <v>48</v>
      </c>
      <c r="P1146" s="4" t="e">
        <f>VLOOKUP(H1146,Stock_list!A:Y,25,FALSE)</f>
        <v>#N/A</v>
      </c>
      <c r="Q1146" s="133"/>
      <c r="R1146" s="133"/>
      <c r="S1146" s="129"/>
      <c r="T1146" s="135"/>
      <c r="U1146" s="145" t="e">
        <f>VLOOKUP(H1146,Stock_list!A:N,14,FALSE)</f>
        <v>#N/A</v>
      </c>
    </row>
    <row r="1147" spans="1:21" ht="16.5" customHeight="1">
      <c r="A1147" s="159" t="s">
        <v>264</v>
      </c>
      <c r="B1147" s="114" t="str">
        <f>VLOOKUP(A1147,'Data pick slip'!B:F,5,FALSE)</f>
        <v>KHJ-MC200-00</v>
      </c>
      <c r="C1147" s="156">
        <v>109423</v>
      </c>
      <c r="E1147" s="160" t="e">
        <f>VLOOKUP(C1147,Stock_list!D:L,9,FALSE)</f>
        <v>#N/A</v>
      </c>
      <c r="F1147" s="157" t="s">
        <v>379</v>
      </c>
      <c r="H1147" s="138">
        <v>101</v>
      </c>
      <c r="I1147" s="139" t="e">
        <f>VLOOKUP(H1147,Stock_list!A:R,18,FALSE)</f>
        <v>#N/A</v>
      </c>
      <c r="J1147" s="139" t="e">
        <f>VLOOKUP(H1147,Stock_list!A:S,17,FALSE)</f>
        <v>#N/A</v>
      </c>
      <c r="K1147" s="51" t="e">
        <f>VLOOKUP(H1147,Stock_list!A:T,16,FALSE)</f>
        <v>#N/A</v>
      </c>
      <c r="L1147" s="4"/>
      <c r="M1147" s="50">
        <v>10</v>
      </c>
      <c r="P1147" s="4" t="e">
        <f>VLOOKUP(H1147,Stock_list!A:Y,25,FALSE)</f>
        <v>#N/A</v>
      </c>
      <c r="Q1147" s="5"/>
      <c r="R1147" s="143"/>
      <c r="T1147" s="144"/>
      <c r="U1147" s="145" t="e">
        <f>VLOOKUP(H1147,Stock_list!A:N,14,FALSE)</f>
        <v>#N/A</v>
      </c>
    </row>
    <row r="1148" spans="1:21" ht="16.5" customHeight="1">
      <c r="A1148" s="155" t="s">
        <v>265</v>
      </c>
      <c r="B1148" s="114" t="str">
        <f>VLOOKUP(A1148,'Data pick slip'!B:F,5,FALSE)</f>
        <v>KHJ-MC400-00</v>
      </c>
      <c r="C1148" s="156">
        <v>109430</v>
      </c>
      <c r="E1148" s="160" t="e">
        <f>VLOOKUP(C1148,Stock_list!D:L,9,FALSE)</f>
        <v>#N/A</v>
      </c>
      <c r="F1148" s="157" t="s">
        <v>290</v>
      </c>
      <c r="H1148" s="138">
        <v>101</v>
      </c>
      <c r="I1148" s="139" t="e">
        <f>VLOOKUP(H1148,Stock_list!A:R,18,FALSE)</f>
        <v>#N/A</v>
      </c>
      <c r="J1148" s="139" t="e">
        <f>VLOOKUP(H1148,Stock_list!A:S,17,FALSE)</f>
        <v>#N/A</v>
      </c>
      <c r="K1148" s="51" t="e">
        <f>VLOOKUP(H1148,Stock_list!A:T,16,FALSE)</f>
        <v>#N/A</v>
      </c>
      <c r="L1148" s="4" t="s">
        <v>532</v>
      </c>
      <c r="M1148" s="50">
        <v>4</v>
      </c>
      <c r="P1148" s="4" t="e">
        <f>VLOOKUP(H1148,Stock_list!A:Y,25,FALSE)</f>
        <v>#N/A</v>
      </c>
      <c r="Q1148" s="5"/>
      <c r="S1148" s="123" t="s">
        <v>521</v>
      </c>
      <c r="T1148" s="144" t="s">
        <v>541</v>
      </c>
      <c r="U1148" s="145" t="e">
        <f>VLOOKUP(H1148,Stock_list!A:N,14,FALSE)</f>
        <v>#N/A</v>
      </c>
    </row>
    <row r="1149" spans="1:21" ht="16.5" customHeight="1">
      <c r="A1149" s="155" t="s">
        <v>266</v>
      </c>
      <c r="B1149" s="114" t="str">
        <f>VLOOKUP(A1149,'Data pick slip'!B:F,5,FALSE)</f>
        <v>KHJ-MC500-00</v>
      </c>
      <c r="C1149" s="156">
        <v>109263</v>
      </c>
      <c r="E1149" s="160" t="e">
        <f>VLOOKUP(C1149,Stock_list!D:L,9,FALSE)</f>
        <v>#N/A</v>
      </c>
      <c r="F1149" s="157" t="s">
        <v>290</v>
      </c>
      <c r="H1149" s="138">
        <v>101</v>
      </c>
      <c r="I1149" s="139" t="e">
        <f>VLOOKUP(H1149,Stock_list!A:R,18,FALSE)</f>
        <v>#N/A</v>
      </c>
      <c r="J1149" s="139" t="e">
        <f>VLOOKUP(H1149,Stock_list!A:S,17,FALSE)</f>
        <v>#N/A</v>
      </c>
      <c r="K1149" s="51" t="e">
        <f>VLOOKUP(H1149,Stock_list!A:T,16,FALSE)</f>
        <v>#N/A</v>
      </c>
      <c r="L1149" s="4"/>
      <c r="M1149" s="50">
        <v>2</v>
      </c>
      <c r="P1149" s="4" t="e">
        <f>VLOOKUP(H1149,Stock_list!A:Y,25,FALSE)</f>
        <v>#N/A</v>
      </c>
      <c r="Q1149" s="5"/>
      <c r="S1149" s="123" t="s">
        <v>521</v>
      </c>
      <c r="T1149" s="144" t="s">
        <v>541</v>
      </c>
      <c r="U1149" s="145" t="e">
        <f>VLOOKUP(H1149,Stock_list!A:N,14,FALSE)</f>
        <v>#N/A</v>
      </c>
    </row>
    <row r="1150" spans="1:21" ht="16.5" customHeight="1">
      <c r="A1150" s="155" t="s">
        <v>285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379</v>
      </c>
      <c r="H1150" s="138">
        <v>7</v>
      </c>
      <c r="I1150" s="139" t="e">
        <f>VLOOKUP(H1150,Stock_list!A:R,18,FALSE)</f>
        <v>#N/A</v>
      </c>
      <c r="J1150" s="139" t="e">
        <f>VLOOKUP(H1150,Stock_list!A:S,17,FALSE)</f>
        <v>#N/A</v>
      </c>
      <c r="K1150" s="51" t="e">
        <f>VLOOKUP(H1150,Stock_list!A:T,16,FALSE)</f>
        <v>#N/A</v>
      </c>
      <c r="L1150" s="4"/>
      <c r="M1150" s="50">
        <v>45</v>
      </c>
      <c r="P1150" s="4" t="e">
        <f>VLOOKUP(H1150,Stock_list!A:Y,25,FALSE)</f>
        <v>#N/A</v>
      </c>
      <c r="Q1150" s="5"/>
      <c r="R1150" s="143"/>
      <c r="T1150" s="144"/>
      <c r="U1150" s="145" t="e">
        <f>VLOOKUP(H1150,Stock_list!A:N,14,FALSE)</f>
        <v>#N/A</v>
      </c>
    </row>
    <row r="1151" spans="1:21" ht="16.5" customHeight="1">
      <c r="A1151" s="155" t="s">
        <v>264</v>
      </c>
      <c r="B1151" s="114" t="str">
        <f>VLOOKUP(A1151,'Data pick slip'!B:F,5,FALSE)</f>
        <v>KHJ-MC200-00</v>
      </c>
      <c r="F1151" s="157" t="s">
        <v>379</v>
      </c>
      <c r="H1151" s="138">
        <v>7</v>
      </c>
      <c r="I1151" s="139" t="e">
        <f>VLOOKUP(H1151,Stock_list!A:R,18,FALSE)</f>
        <v>#N/A</v>
      </c>
      <c r="J1151" s="139" t="e">
        <f>VLOOKUP(H1151,Stock_list!A:S,17,FALSE)</f>
        <v>#N/A</v>
      </c>
      <c r="K1151" s="51" t="e">
        <f>VLOOKUP(H1151,Stock_list!A:T,16,FALSE)</f>
        <v>#N/A</v>
      </c>
      <c r="L1151" s="4"/>
      <c r="M1151" s="50">
        <v>3</v>
      </c>
      <c r="P1151" s="4" t="e">
        <f>VLOOKUP(H1151,Stock_list!A:Y,25,FALSE)</f>
        <v>#N/A</v>
      </c>
      <c r="Q1151" s="5"/>
      <c r="R1151" s="143"/>
      <c r="T1151" s="144"/>
      <c r="U1151" s="145" t="e">
        <f>VLOOKUP(H1151,Stock_list!A:N,14,FALSE)</f>
        <v>#N/A</v>
      </c>
    </row>
    <row r="1152" spans="1:21" ht="16.5" customHeight="1">
      <c r="A1152" s="155" t="s">
        <v>285</v>
      </c>
      <c r="B1152" s="114" t="str">
        <f>VLOOKUP(A1152,'Data pick slip'!B:F,5,FALSE)</f>
        <v>KHJ-MC100-00</v>
      </c>
      <c r="C1152" s="156">
        <v>109421</v>
      </c>
      <c r="E1152" s="160" t="e">
        <f>VLOOKUP(C1152,Stock_list!D:L,9,FALSE)</f>
        <v>#N/A</v>
      </c>
      <c r="F1152" s="157" t="s">
        <v>379</v>
      </c>
      <c r="H1152" s="138">
        <v>119</v>
      </c>
      <c r="I1152" s="139" t="e">
        <f>VLOOKUP(H1152,Stock_list!A:R,18,FALSE)</f>
        <v>#N/A</v>
      </c>
      <c r="J1152" s="139" t="e">
        <f>VLOOKUP(H1152,Stock_list!A:S,17,FALSE)</f>
        <v>#N/A</v>
      </c>
      <c r="K1152" s="51" t="e">
        <f>VLOOKUP(H1152,Stock_list!A:T,16,FALSE)</f>
        <v>#N/A</v>
      </c>
      <c r="L1152" s="4"/>
      <c r="M1152" s="50">
        <v>30</v>
      </c>
      <c r="N1152" s="50"/>
      <c r="P1152" s="4" t="e">
        <f>VLOOKUP(H1152,Stock_list!A:Y,25,FALSE)</f>
        <v>#N/A</v>
      </c>
      <c r="Q1152" s="5"/>
      <c r="T1152" s="144"/>
      <c r="U1152" s="145" t="e">
        <f>VLOOKUP(H1152,Stock_list!A:N,14,FALSE)</f>
        <v>#N/A</v>
      </c>
    </row>
    <row r="1153" spans="1:21" ht="16.5" customHeight="1">
      <c r="A1153" s="155" t="s">
        <v>285</v>
      </c>
      <c r="B1153" s="114" t="str">
        <f>VLOOKUP(A1153,'Data pick slip'!B:F,5,FALSE)</f>
        <v>KHJ-MC100-00</v>
      </c>
      <c r="C1153" s="156">
        <v>109421</v>
      </c>
      <c r="E1153" s="160" t="e">
        <f>VLOOKUP(C1153,Stock_list!D:L,9,FALSE)</f>
        <v>#N/A</v>
      </c>
      <c r="F1153" s="157" t="s">
        <v>379</v>
      </c>
      <c r="H1153" s="138">
        <v>119</v>
      </c>
      <c r="I1153" s="139" t="e">
        <f>VLOOKUP(H1153,Stock_list!A:R,18,FALSE)</f>
        <v>#N/A</v>
      </c>
      <c r="J1153" s="139" t="e">
        <f>VLOOKUP(H1153,Stock_list!A:S,17,FALSE)</f>
        <v>#N/A</v>
      </c>
      <c r="K1153" s="51" t="e">
        <f>VLOOKUP(H1153,Stock_list!A:T,16,FALSE)</f>
        <v>#N/A</v>
      </c>
      <c r="L1153" s="4"/>
      <c r="M1153" s="50">
        <v>50</v>
      </c>
      <c r="N1153" s="50"/>
      <c r="P1153" s="4" t="e">
        <f>VLOOKUP(H1153,Stock_list!A:Y,25,FALSE)</f>
        <v>#N/A</v>
      </c>
      <c r="Q1153" s="5"/>
      <c r="T1153" s="144"/>
      <c r="U1153" s="145" t="e">
        <f>VLOOKUP(H1153,Stock_list!A:N,14,FALSE)</f>
        <v>#N/A</v>
      </c>
    </row>
    <row r="1154" spans="1:21" ht="16.5" customHeight="1">
      <c r="A1154" s="159" t="s">
        <v>264</v>
      </c>
      <c r="B1154" s="114" t="str">
        <f>VLOOKUP(A1154,'Data pick slip'!B:F,5,FALSE)</f>
        <v>KHJ-MC200-00</v>
      </c>
      <c r="C1154" s="156">
        <v>109454</v>
      </c>
      <c r="E1154" s="160" t="e">
        <f>VLOOKUP(C1154,Stock_list!D:L,9,FALSE)</f>
        <v>#N/A</v>
      </c>
      <c r="F1154" s="157" t="s">
        <v>379</v>
      </c>
      <c r="H1154" s="138">
        <v>119</v>
      </c>
      <c r="I1154" s="139" t="e">
        <f>VLOOKUP(H1154,Stock_list!A:R,18,FALSE)</f>
        <v>#N/A</v>
      </c>
      <c r="J1154" s="139" t="e">
        <f>VLOOKUP(H1154,Stock_list!A:S,17,FALSE)</f>
        <v>#N/A</v>
      </c>
      <c r="K1154" s="51" t="e">
        <f>VLOOKUP(H1154,Stock_list!A:T,16,FALSE)</f>
        <v>#N/A</v>
      </c>
      <c r="L1154" s="4"/>
      <c r="M1154" s="50">
        <v>15</v>
      </c>
      <c r="N1154" s="50"/>
      <c r="P1154" s="4" t="e">
        <f>VLOOKUP(H1154,Stock_list!A:Y,25,FALSE)</f>
        <v>#N/A</v>
      </c>
      <c r="Q1154" s="5"/>
      <c r="T1154" s="144"/>
      <c r="U1154" s="145" t="e">
        <f>VLOOKUP(H1154,Stock_list!A:N,14,FALSE)</f>
        <v>#N/A</v>
      </c>
    </row>
    <row r="1155" spans="1:21" ht="16.5" customHeight="1">
      <c r="A1155" s="155" t="s">
        <v>265</v>
      </c>
      <c r="B1155" s="114" t="str">
        <f>VLOOKUP(A1155,'Data pick slip'!B:F,5,FALSE)</f>
        <v>KHJ-MC400-00</v>
      </c>
      <c r="C1155" s="156">
        <v>109295</v>
      </c>
      <c r="E1155" s="160" t="e">
        <f>VLOOKUP(C1155,Stock_list!D:L,9,FALSE)</f>
        <v>#N/A</v>
      </c>
      <c r="F1155" s="157" t="s">
        <v>379</v>
      </c>
      <c r="H1155" s="138">
        <v>119</v>
      </c>
      <c r="I1155" s="139" t="e">
        <f>VLOOKUP(H1155,Stock_list!A:R,18,FALSE)</f>
        <v>#N/A</v>
      </c>
      <c r="J1155" s="139" t="e">
        <f>VLOOKUP(H1155,Stock_list!A:S,17,FALSE)</f>
        <v>#N/A</v>
      </c>
      <c r="K1155" s="51" t="e">
        <f>VLOOKUP(H1155,Stock_list!A:T,16,FALSE)</f>
        <v>#N/A</v>
      </c>
      <c r="L1155" s="4"/>
      <c r="M1155" s="50">
        <v>2</v>
      </c>
      <c r="N1155" s="50"/>
      <c r="P1155" s="4" t="e">
        <f>VLOOKUP(H1155,Stock_list!A:Y,25,FALSE)</f>
        <v>#N/A</v>
      </c>
      <c r="Q1155" s="5"/>
      <c r="T1155" s="144"/>
      <c r="U1155" s="145" t="e">
        <f>VLOOKUP(H1155,Stock_list!A:N,14,FALSE)</f>
        <v>#N/A</v>
      </c>
    </row>
    <row r="1156" spans="1:21" ht="16.5" customHeight="1">
      <c r="A1156" s="155" t="s">
        <v>265</v>
      </c>
      <c r="B1156" s="114" t="str">
        <f>VLOOKUP(A1156,'Data pick slip'!B:F,5,FALSE)</f>
        <v>KHJ-MC400-00</v>
      </c>
      <c r="C1156" s="156">
        <v>109295</v>
      </c>
      <c r="E1156" s="160" t="e">
        <f>VLOOKUP(C1156,Stock_list!D:L,9,FALSE)</f>
        <v>#N/A</v>
      </c>
      <c r="F1156" s="157" t="s">
        <v>379</v>
      </c>
      <c r="H1156" s="138">
        <v>119</v>
      </c>
      <c r="I1156" s="139" t="e">
        <f>VLOOKUP(H1156,Stock_list!A:R,18,FALSE)</f>
        <v>#N/A</v>
      </c>
      <c r="J1156" s="139" t="e">
        <f>VLOOKUP(H1156,Stock_list!A:S,17,FALSE)</f>
        <v>#N/A</v>
      </c>
      <c r="K1156" s="51" t="e">
        <f>VLOOKUP(H1156,Stock_list!A:T,16,FALSE)</f>
        <v>#N/A</v>
      </c>
      <c r="L1156" s="4"/>
      <c r="M1156" s="50">
        <v>2</v>
      </c>
      <c r="N1156" s="50"/>
      <c r="P1156" s="4" t="e">
        <f>VLOOKUP(H1156,Stock_list!A:Y,25,FALSE)</f>
        <v>#N/A</v>
      </c>
      <c r="Q1156" s="5"/>
      <c r="T1156" s="144"/>
      <c r="U1156" s="145" t="e">
        <f>VLOOKUP(H1156,Stock_list!A:N,14,FALSE)</f>
        <v>#N/A</v>
      </c>
    </row>
    <row r="1157" spans="1:21" ht="16.5" customHeight="1">
      <c r="A1157" s="155" t="s">
        <v>266</v>
      </c>
      <c r="B1157" s="114" t="str">
        <f>VLOOKUP(A1157,'Data pick slip'!B:F,5,FALSE)</f>
        <v>KHJ-MC500-00</v>
      </c>
      <c r="C1157" s="156">
        <v>109295</v>
      </c>
      <c r="E1157" s="160" t="e">
        <f>VLOOKUP(C1157,Stock_list!D:L,9,FALSE)</f>
        <v>#N/A</v>
      </c>
      <c r="F1157" s="157" t="s">
        <v>379</v>
      </c>
      <c r="H1157" s="138">
        <v>119</v>
      </c>
      <c r="I1157" s="139" t="e">
        <f>VLOOKUP(H1157,Stock_list!A:R,18,FALSE)</f>
        <v>#N/A</v>
      </c>
      <c r="J1157" s="139" t="e">
        <f>VLOOKUP(H1157,Stock_list!A:S,17,FALSE)</f>
        <v>#N/A</v>
      </c>
      <c r="K1157" s="51" t="e">
        <f>VLOOKUP(H1157,Stock_list!A:T,16,FALSE)</f>
        <v>#N/A</v>
      </c>
      <c r="L1157" s="4"/>
      <c r="M1157" s="50">
        <v>1</v>
      </c>
      <c r="N1157" s="50"/>
      <c r="P1157" s="4" t="e">
        <f>VLOOKUP(H1157,Stock_list!A:Y,25,FALSE)</f>
        <v>#N/A</v>
      </c>
      <c r="Q1157" s="5"/>
      <c r="T1157" s="144"/>
      <c r="U1157" s="145" t="e">
        <f>VLOOKUP(H1157,Stock_list!A:N,14,FALSE)</f>
        <v>#N/A</v>
      </c>
    </row>
    <row r="1158" spans="1:21" ht="16.5" customHeight="1">
      <c r="A1158" s="155" t="s">
        <v>285</v>
      </c>
      <c r="B1158" s="114" t="str">
        <f>VLOOKUP(A1158,'Data pick slip'!B:F,5,FALSE)</f>
        <v>KHJ-MC100-00</v>
      </c>
      <c r="C1158" s="156">
        <v>109390</v>
      </c>
      <c r="E1158" s="160" t="e">
        <f>VLOOKUP(C1158,Stock_list!D:L,9,FALSE)</f>
        <v>#N/A</v>
      </c>
      <c r="F1158" s="157" t="s">
        <v>379</v>
      </c>
      <c r="H1158" s="138">
        <v>80</v>
      </c>
      <c r="I1158" s="139" t="e">
        <f>VLOOKUP(H1158,Stock_list!A:R,18,FALSE)</f>
        <v>#N/A</v>
      </c>
      <c r="J1158" s="139" t="e">
        <f>VLOOKUP(H1158,Stock_list!A:S,17,FALSE)</f>
        <v>#N/A</v>
      </c>
      <c r="K1158" s="51" t="e">
        <f>VLOOKUP(H1158,Stock_list!A:T,16,FALSE)</f>
        <v>#N/A</v>
      </c>
      <c r="L1158" s="4"/>
      <c r="M1158" s="50">
        <v>300</v>
      </c>
      <c r="N1158" s="50"/>
      <c r="P1158" s="4" t="e">
        <f>VLOOKUP(H1158,Stock_list!A:Y,25,FALSE)</f>
        <v>#N/A</v>
      </c>
      <c r="Q1158" s="5"/>
      <c r="R1158" s="143"/>
      <c r="T1158" s="144"/>
      <c r="U1158" s="145" t="e">
        <f>VLOOKUP(H1158,Stock_list!A:N,14,FALSE)</f>
        <v>#N/A</v>
      </c>
    </row>
    <row r="1159" spans="1:21" ht="16.5" customHeight="1">
      <c r="A1159" s="155" t="s">
        <v>285</v>
      </c>
      <c r="B1159" s="114" t="str">
        <f>VLOOKUP(A1159,'Data pick slip'!B:F,5,FALSE)</f>
        <v>KHJ-MC100-00</v>
      </c>
      <c r="C1159" s="156">
        <v>109336</v>
      </c>
      <c r="E1159" s="160" t="e">
        <f>VLOOKUP(C1159,Stock_list!D:L,9,FALSE)</f>
        <v>#N/A</v>
      </c>
      <c r="F1159" s="157" t="s">
        <v>379</v>
      </c>
      <c r="H1159" s="138">
        <v>80</v>
      </c>
      <c r="I1159" s="139" t="e">
        <f>VLOOKUP(H1159,Stock_list!A:R,18,FALSE)</f>
        <v>#N/A</v>
      </c>
      <c r="J1159" s="139" t="e">
        <f>VLOOKUP(H1159,Stock_list!A:S,17,FALSE)</f>
        <v>#N/A</v>
      </c>
      <c r="K1159" s="51" t="e">
        <f>VLOOKUP(H1159,Stock_list!A:T,16,FALSE)</f>
        <v>#N/A</v>
      </c>
      <c r="L1159" s="4"/>
      <c r="M1159" s="50">
        <v>500</v>
      </c>
      <c r="N1159" s="50"/>
      <c r="P1159" s="4" t="e">
        <f>VLOOKUP(H1159,Stock_list!A:Y,25,FALSE)</f>
        <v>#N/A</v>
      </c>
      <c r="Q1159" s="5"/>
      <c r="R1159" s="143"/>
      <c r="T1159" s="144"/>
      <c r="U1159" s="145" t="e">
        <f>VLOOKUP(H1159,Stock_list!A:N,14,FALSE)</f>
        <v>#N/A</v>
      </c>
    </row>
    <row r="1160" spans="1:21" ht="16.5" customHeight="1">
      <c r="A1160" s="159" t="s">
        <v>264</v>
      </c>
      <c r="B1160" s="114" t="str">
        <f>VLOOKUP(A1160,'Data pick slip'!B:F,5,FALSE)</f>
        <v>KHJ-MC200-00</v>
      </c>
      <c r="C1160" s="156">
        <v>109336</v>
      </c>
      <c r="E1160" s="160" t="e">
        <f>VLOOKUP(C1160,Stock_list!D:L,9,FALSE)</f>
        <v>#N/A</v>
      </c>
      <c r="F1160" s="157" t="s">
        <v>379</v>
      </c>
      <c r="H1160" s="138">
        <v>80</v>
      </c>
      <c r="I1160" s="139" t="e">
        <f>VLOOKUP(H1160,Stock_list!A:R,18,FALSE)</f>
        <v>#N/A</v>
      </c>
      <c r="J1160" s="139" t="e">
        <f>VLOOKUP(H1160,Stock_list!A:S,17,FALSE)</f>
        <v>#N/A</v>
      </c>
      <c r="K1160" s="51" t="e">
        <f>VLOOKUP(H1160,Stock_list!A:T,16,FALSE)</f>
        <v>#N/A</v>
      </c>
      <c r="L1160" s="4">
        <v>43544</v>
      </c>
      <c r="M1160" s="50">
        <v>50</v>
      </c>
      <c r="N1160" s="50"/>
      <c r="P1160" s="4" t="e">
        <f>VLOOKUP(H1160,Stock_list!A:Y,25,FALSE)</f>
        <v>#N/A</v>
      </c>
      <c r="Q1160" s="5"/>
      <c r="R1160" s="143"/>
      <c r="T1160" s="144"/>
      <c r="U1160" s="145" t="e">
        <f>VLOOKUP(H1160,Stock_list!A:N,14,FALSE)</f>
        <v>#N/A</v>
      </c>
    </row>
    <row r="1161" spans="1:21" ht="16.5" customHeight="1">
      <c r="A1161" s="155" t="s">
        <v>265</v>
      </c>
      <c r="B1161" s="114" t="str">
        <f>VLOOKUP(A1161,'Data pick slip'!B:F,5,FALSE)</f>
        <v>KHJ-MC400-00</v>
      </c>
      <c r="C1161" s="156">
        <v>109336</v>
      </c>
      <c r="E1161" s="160" t="e">
        <f>VLOOKUP(C1161,Stock_list!D:L,9,FALSE)</f>
        <v>#N/A</v>
      </c>
      <c r="F1161" s="157" t="s">
        <v>379</v>
      </c>
      <c r="H1161" s="138">
        <v>80</v>
      </c>
      <c r="I1161" s="139" t="e">
        <f>VLOOKUP(H1161,Stock_list!A:R,18,FALSE)</f>
        <v>#N/A</v>
      </c>
      <c r="J1161" s="139" t="e">
        <f>VLOOKUP(H1161,Stock_list!A:S,17,FALSE)</f>
        <v>#N/A</v>
      </c>
      <c r="K1161" s="51" t="e">
        <f>VLOOKUP(H1161,Stock_list!A:T,16,FALSE)</f>
        <v>#N/A</v>
      </c>
      <c r="L1161" s="4"/>
      <c r="M1161" s="50">
        <v>6</v>
      </c>
      <c r="N1161" s="50"/>
      <c r="P1161" s="4" t="e">
        <f>VLOOKUP(H1161,Stock_list!A:Y,25,FALSE)</f>
        <v>#N/A</v>
      </c>
      <c r="Q1161" s="5"/>
      <c r="R1161" s="143"/>
      <c r="T1161" s="144"/>
      <c r="U1161" s="145" t="e">
        <f>VLOOKUP(H1161,Stock_list!A:N,14,FALSE)</f>
        <v>#N/A</v>
      </c>
    </row>
    <row r="1162" spans="1:21" ht="16.5" customHeight="1">
      <c r="A1162" s="155" t="s">
        <v>285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378</v>
      </c>
      <c r="H1162" s="138">
        <v>76</v>
      </c>
      <c r="I1162" s="139" t="e">
        <f>VLOOKUP(H1162,Stock_list!A:R,18,FALSE)</f>
        <v>#N/A</v>
      </c>
      <c r="J1162" s="139" t="e">
        <f>VLOOKUP(H1162,Stock_list!A:S,17,FALSE)</f>
        <v>#N/A</v>
      </c>
      <c r="K1162" s="51" t="e">
        <f>VLOOKUP(H1162,Stock_list!A:T,16,FALSE)</f>
        <v>#N/A</v>
      </c>
      <c r="L1162" s="4"/>
      <c r="M1162" s="50">
        <v>60</v>
      </c>
      <c r="N1162" s="50"/>
      <c r="P1162" s="4" t="e">
        <f>VLOOKUP(H1162,Stock_list!A:Y,25,FALSE)</f>
        <v>#N/A</v>
      </c>
      <c r="Q1162" s="5"/>
      <c r="R1162" s="143"/>
      <c r="T1162" s="144"/>
      <c r="U1162" s="145" t="e">
        <f>VLOOKUP(H1162,Stock_list!A:N,14,FALSE)</f>
        <v>#N/A</v>
      </c>
    </row>
    <row r="1163" spans="1:21" ht="16.5" customHeight="1">
      <c r="A1163" s="159" t="s">
        <v>264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378</v>
      </c>
      <c r="H1163" s="138">
        <v>76</v>
      </c>
      <c r="I1163" s="139" t="e">
        <f>VLOOKUP(H1163,Stock_list!A:R,18,FALSE)</f>
        <v>#N/A</v>
      </c>
      <c r="J1163" s="139" t="e">
        <f>VLOOKUP(H1163,Stock_list!A:S,17,FALSE)</f>
        <v>#N/A</v>
      </c>
      <c r="K1163" s="51" t="e">
        <f>VLOOKUP(H1163,Stock_list!A:T,16,FALSE)</f>
        <v>#N/A</v>
      </c>
      <c r="L1163" s="4" t="s">
        <v>542</v>
      </c>
      <c r="M1163" s="50">
        <v>12</v>
      </c>
      <c r="N1163" s="50"/>
      <c r="P1163" s="4" t="e">
        <f>VLOOKUP(H1163,Stock_list!A:Y,25,FALSE)</f>
        <v>#N/A</v>
      </c>
      <c r="Q1163" s="5"/>
      <c r="R1163" s="143"/>
      <c r="T1163" s="144"/>
      <c r="U1163" s="145" t="e">
        <f>VLOOKUP(H1163,Stock_list!A:N,14,FALSE)</f>
        <v>#N/A</v>
      </c>
    </row>
    <row r="1164" spans="1:21" ht="16.5" customHeight="1">
      <c r="A1164" s="155" t="s">
        <v>265</v>
      </c>
      <c r="B1164" s="114" t="str">
        <f>VLOOKUP(A1164,'Data pick slip'!B:F,5,FALSE)</f>
        <v>KHJ-MC400-00</v>
      </c>
      <c r="C1164" s="156">
        <v>109413</v>
      </c>
      <c r="E1164" s="160" t="e">
        <f>VLOOKUP(C1164,Stock_list!D:L,9,FALSE)</f>
        <v>#N/A</v>
      </c>
      <c r="F1164" s="157" t="s">
        <v>378</v>
      </c>
      <c r="H1164" s="138">
        <v>76</v>
      </c>
      <c r="I1164" s="139" t="e">
        <f>VLOOKUP(H1164,Stock_list!A:R,18,FALSE)</f>
        <v>#N/A</v>
      </c>
      <c r="J1164" s="139" t="e">
        <f>VLOOKUP(H1164,Stock_list!A:S,17,FALSE)</f>
        <v>#N/A</v>
      </c>
      <c r="K1164" s="51" t="e">
        <f>VLOOKUP(H1164,Stock_list!A:T,16,FALSE)</f>
        <v>#N/A</v>
      </c>
      <c r="L1164" s="4"/>
      <c r="M1164" s="50">
        <v>3</v>
      </c>
      <c r="N1164" s="50"/>
      <c r="P1164" s="4" t="e">
        <f>VLOOKUP(H1164,Stock_list!A:Y,25,FALSE)</f>
        <v>#N/A</v>
      </c>
      <c r="Q1164" s="5"/>
      <c r="R1164" s="143"/>
      <c r="T1164" s="144"/>
      <c r="U1164" s="145" t="e">
        <f>VLOOKUP(H1164,Stock_list!A:N,14,FALSE)</f>
        <v>#N/A</v>
      </c>
    </row>
    <row r="1165" spans="1:21" ht="16.5" customHeight="1">
      <c r="A1165" s="155" t="s">
        <v>285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379</v>
      </c>
      <c r="H1165" s="138">
        <v>98</v>
      </c>
      <c r="I1165" s="139" t="e">
        <f>VLOOKUP(H1165,Stock_list!A:R,18,FALSE)</f>
        <v>#N/A</v>
      </c>
      <c r="J1165" s="139" t="e">
        <f>VLOOKUP(H1165,Stock_list!A:S,17,FALSE)</f>
        <v>#N/A</v>
      </c>
      <c r="K1165" s="51" t="e">
        <f>VLOOKUP(H1165,Stock_list!A:T,16,FALSE)</f>
        <v>#N/A</v>
      </c>
      <c r="L1165" s="4"/>
      <c r="M1165" s="50">
        <v>60</v>
      </c>
      <c r="P1165" s="4" t="e">
        <f>VLOOKUP(H1165,Stock_list!A:Y,25,FALSE)</f>
        <v>#N/A</v>
      </c>
      <c r="Q1165" s="5"/>
      <c r="R1165" s="143"/>
      <c r="T1165" s="144"/>
      <c r="U1165" s="145" t="e">
        <f>VLOOKUP(H1165,Stock_list!A:N,14,FALSE)</f>
        <v>#N/A</v>
      </c>
    </row>
    <row r="1166" spans="1:21" ht="16.5" customHeight="1">
      <c r="A1166" s="155" t="s">
        <v>285</v>
      </c>
      <c r="B1166" s="114" t="str">
        <f>VLOOKUP(A1166,'Data pick slip'!B:F,5,FALSE)</f>
        <v>KHJ-MC100-00</v>
      </c>
      <c r="C1166" s="156">
        <v>109319</v>
      </c>
      <c r="E1166" s="160" t="e">
        <f>VLOOKUP(C1166,Stock_list!D:L,9,FALSE)</f>
        <v>#N/A</v>
      </c>
      <c r="F1166" s="157" t="s">
        <v>290</v>
      </c>
      <c r="H1166" s="138">
        <v>30</v>
      </c>
      <c r="I1166" s="139" t="e">
        <f>VLOOKUP(H1166,Stock_list!A:R,18,FALSE)</f>
        <v>#N/A</v>
      </c>
      <c r="J1166" s="139" t="e">
        <f>VLOOKUP(H1166,Stock_list!A:S,17,FALSE)</f>
        <v>#N/A</v>
      </c>
      <c r="K1166" s="51" t="e">
        <f>VLOOKUP(H1166,Stock_list!A:T,16,FALSE)</f>
        <v>#N/A</v>
      </c>
      <c r="L1166" s="4">
        <v>43580</v>
      </c>
      <c r="M1166" s="50">
        <v>85</v>
      </c>
      <c r="P1166" s="4" t="e">
        <f>VLOOKUP(H1166,Stock_list!A:Y,25,FALSE)</f>
        <v>#N/A</v>
      </c>
      <c r="Q1166" s="5"/>
      <c r="R1166" s="143"/>
      <c r="T1166" s="144"/>
      <c r="U1166" s="145" t="e">
        <f>VLOOKUP(H1166,Stock_list!A:N,14,FALSE)</f>
        <v>#N/A</v>
      </c>
    </row>
    <row r="1167" spans="1:21" ht="16.5" customHeight="1">
      <c r="A1167" s="159" t="s">
        <v>264</v>
      </c>
      <c r="B1167" s="114" t="str">
        <f>VLOOKUP(A1167,'Data pick slip'!B:F,5,FALSE)</f>
        <v>KHJ-MC200-00</v>
      </c>
      <c r="C1167" s="156">
        <v>109319</v>
      </c>
      <c r="E1167" s="160" t="e">
        <f>VLOOKUP(C1167,Stock_list!D:L,9,FALSE)</f>
        <v>#N/A</v>
      </c>
      <c r="F1167" s="157" t="s">
        <v>290</v>
      </c>
      <c r="H1167" s="138">
        <v>30</v>
      </c>
      <c r="I1167" s="139" t="e">
        <f>VLOOKUP(H1167,Stock_list!A:R,18,FALSE)</f>
        <v>#N/A</v>
      </c>
      <c r="J1167" s="139" t="e">
        <f>VLOOKUP(H1167,Stock_list!A:S,17,FALSE)</f>
        <v>#N/A</v>
      </c>
      <c r="K1167" s="51" t="e">
        <f>VLOOKUP(H1167,Stock_list!A:T,16,FALSE)</f>
        <v>#N/A</v>
      </c>
      <c r="L1167" s="4">
        <v>43580</v>
      </c>
      <c r="M1167" s="50">
        <v>9</v>
      </c>
      <c r="P1167" s="4" t="e">
        <f>VLOOKUP(H1167,Stock_list!A:Y,25,FALSE)</f>
        <v>#N/A</v>
      </c>
      <c r="Q1167" s="5"/>
      <c r="R1167" s="143"/>
      <c r="T1167" s="144"/>
      <c r="U1167" s="145" t="e">
        <f>VLOOKUP(H1167,Stock_list!A:N,14,FALSE)</f>
        <v>#N/A</v>
      </c>
    </row>
    <row r="1168" spans="1:21" ht="16.5" customHeight="1">
      <c r="A1168" s="155" t="s">
        <v>265</v>
      </c>
      <c r="B1168" s="114" t="str">
        <f>VLOOKUP(A1168,'Data pick slip'!B:F,5,FALSE)</f>
        <v>KHJ-MC400-00</v>
      </c>
      <c r="C1168" s="156">
        <v>109319</v>
      </c>
      <c r="E1168" s="160" t="e">
        <f>VLOOKUP(C1168,Stock_list!D:L,9,FALSE)</f>
        <v>#N/A</v>
      </c>
      <c r="F1168" s="157" t="s">
        <v>290</v>
      </c>
      <c r="H1168" s="138">
        <v>30</v>
      </c>
      <c r="I1168" s="139" t="e">
        <f>VLOOKUP(H1168,Stock_list!A:R,18,FALSE)</f>
        <v>#N/A</v>
      </c>
      <c r="J1168" s="139" t="e">
        <f>VLOOKUP(H1168,Stock_list!A:S,17,FALSE)</f>
        <v>#N/A</v>
      </c>
      <c r="K1168" s="51" t="e">
        <f>VLOOKUP(H1168,Stock_list!A:T,16,FALSE)</f>
        <v>#N/A</v>
      </c>
      <c r="L1168" s="4">
        <v>43580</v>
      </c>
      <c r="M1168" s="50">
        <v>2</v>
      </c>
      <c r="P1168" s="4" t="e">
        <f>VLOOKUP(H1168,Stock_list!A:Y,25,FALSE)</f>
        <v>#N/A</v>
      </c>
      <c r="Q1168" s="5"/>
      <c r="R1168" s="143"/>
      <c r="T1168" s="144"/>
      <c r="U1168" s="145" t="e">
        <f>VLOOKUP(H1168,Stock_list!A:N,14,FALSE)</f>
        <v>#N/A</v>
      </c>
    </row>
    <row r="1169" spans="1:21" ht="16.5" customHeight="1">
      <c r="A1169" s="155" t="s">
        <v>285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379</v>
      </c>
      <c r="H1169" s="138">
        <v>129</v>
      </c>
      <c r="I1169" s="139" t="e">
        <f>VLOOKUP(H1169,Stock_list!A:R,18,FALSE)</f>
        <v>#N/A</v>
      </c>
      <c r="J1169" s="139" t="e">
        <f>VLOOKUP(H1169,Stock_list!A:S,17,FALSE)</f>
        <v>#N/A</v>
      </c>
      <c r="K1169" s="51" t="e">
        <f>VLOOKUP(H1169,Stock_list!A:T,16,FALSE)</f>
        <v>#N/A</v>
      </c>
      <c r="L1169" s="4"/>
      <c r="M1169" s="50">
        <v>120</v>
      </c>
      <c r="P1169" s="4" t="e">
        <f>VLOOKUP(H1169,Stock_list!A:Y,25,FALSE)</f>
        <v>#N/A</v>
      </c>
      <c r="Q1169" s="5"/>
      <c r="R1169" s="143"/>
      <c r="T1169" s="144"/>
      <c r="U1169" s="145" t="e">
        <f>VLOOKUP(H1169,Stock_list!A:N,14,FALSE)</f>
        <v>#N/A</v>
      </c>
    </row>
    <row r="1170" spans="1:21" ht="16.5" customHeight="1">
      <c r="A1170" s="155" t="s">
        <v>285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378</v>
      </c>
      <c r="H1170" s="138">
        <v>127</v>
      </c>
      <c r="I1170" s="139" t="e">
        <f>VLOOKUP(H1170,Stock_list!A:R,18,FALSE)</f>
        <v>#N/A</v>
      </c>
      <c r="J1170" s="139" t="e">
        <f>VLOOKUP(H1170,Stock_list!A:S,17,FALSE)</f>
        <v>#N/A</v>
      </c>
      <c r="K1170" s="51" t="e">
        <f>VLOOKUP(H1170,Stock_list!A:T,16,FALSE)</f>
        <v>#N/A</v>
      </c>
      <c r="L1170" s="4"/>
      <c r="M1170" s="50">
        <v>40</v>
      </c>
      <c r="P1170" s="4" t="e">
        <f>VLOOKUP(H1170,Stock_list!A:Y,25,FALSE)</f>
        <v>#N/A</v>
      </c>
      <c r="Q1170" s="5"/>
      <c r="R1170" s="143"/>
      <c r="T1170" s="144"/>
      <c r="U1170" s="145" t="e">
        <f>VLOOKUP(H1170,Stock_list!A:N,14,FALSE)</f>
        <v>#N/A</v>
      </c>
    </row>
    <row r="1171" spans="1:21" ht="16.5" customHeight="1">
      <c r="A1171" s="159" t="s">
        <v>264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378</v>
      </c>
      <c r="H1171" s="138">
        <v>127</v>
      </c>
      <c r="I1171" s="139" t="e">
        <f>VLOOKUP(H1171,Stock_list!A:R,18,FALSE)</f>
        <v>#N/A</v>
      </c>
      <c r="J1171" s="139" t="e">
        <f>VLOOKUP(H1171,Stock_list!A:S,17,FALSE)</f>
        <v>#N/A</v>
      </c>
      <c r="K1171" s="51" t="e">
        <f>VLOOKUP(H1171,Stock_list!A:T,16,FALSE)</f>
        <v>#N/A</v>
      </c>
      <c r="L1171" s="4"/>
      <c r="M1171" s="50">
        <v>10</v>
      </c>
      <c r="P1171" s="4" t="e">
        <f>VLOOKUP(H1171,Stock_list!A:Y,25,FALSE)</f>
        <v>#N/A</v>
      </c>
      <c r="Q1171" s="5"/>
      <c r="R1171" s="143"/>
      <c r="T1171" s="144"/>
      <c r="U1171" s="145" t="e">
        <f>VLOOKUP(H1171,Stock_list!A:N,14,FALSE)</f>
        <v>#N/A</v>
      </c>
    </row>
    <row r="1172" spans="1:21" ht="16.5" customHeight="1">
      <c r="A1172" s="155" t="s">
        <v>265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378</v>
      </c>
      <c r="H1172" s="138">
        <v>127</v>
      </c>
      <c r="I1172" s="139" t="e">
        <f>VLOOKUP(H1172,Stock_list!A:R,18,FALSE)</f>
        <v>#N/A</v>
      </c>
      <c r="J1172" s="139" t="e">
        <f>VLOOKUP(H1172,Stock_list!A:S,17,FALSE)</f>
        <v>#N/A</v>
      </c>
      <c r="K1172" s="51" t="e">
        <f>VLOOKUP(H1172,Stock_list!A:T,16,FALSE)</f>
        <v>#N/A</v>
      </c>
      <c r="L1172" s="4"/>
      <c r="M1172" s="50">
        <v>2</v>
      </c>
      <c r="P1172" s="4" t="e">
        <f>VLOOKUP(H1172,Stock_list!A:Y,25,FALSE)</f>
        <v>#N/A</v>
      </c>
      <c r="Q1172" s="5"/>
      <c r="R1172" s="143"/>
      <c r="T1172" s="144"/>
      <c r="U1172" s="145" t="e">
        <f>VLOOKUP(H1172,Stock_list!A:N,14,FALSE)</f>
        <v>#N/A</v>
      </c>
    </row>
    <row r="1173" spans="1:21" ht="16.5" customHeight="1">
      <c r="A1173" s="155" t="s">
        <v>266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378</v>
      </c>
      <c r="H1173" s="138">
        <v>127</v>
      </c>
      <c r="I1173" s="139" t="e">
        <f>VLOOKUP(H1173,Stock_list!A:R,18,FALSE)</f>
        <v>#N/A</v>
      </c>
      <c r="J1173" s="139" t="e">
        <f>VLOOKUP(H1173,Stock_list!A:S,17,FALSE)</f>
        <v>#N/A</v>
      </c>
      <c r="K1173" s="51" t="e">
        <f>VLOOKUP(H1173,Stock_list!A:T,16,FALSE)</f>
        <v>#N/A</v>
      </c>
      <c r="L1173" s="4"/>
      <c r="M1173" s="50">
        <v>2</v>
      </c>
      <c r="P1173" s="4" t="e">
        <f>VLOOKUP(H1173,Stock_list!A:Y,25,FALSE)</f>
        <v>#N/A</v>
      </c>
      <c r="Q1173" s="5"/>
      <c r="R1173" s="143"/>
      <c r="T1173" s="144"/>
      <c r="U1173" s="145" t="e">
        <f>VLOOKUP(H1173,Stock_list!A:N,14,FALSE)</f>
        <v>#N/A</v>
      </c>
    </row>
    <row r="1174" spans="1:21" ht="16.5" customHeight="1">
      <c r="A1174" s="155" t="s">
        <v>285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379</v>
      </c>
      <c r="H1174" s="138">
        <v>50</v>
      </c>
      <c r="I1174" s="139" t="e">
        <f>VLOOKUP(H1174,Stock_list!A:R,18,FALSE)</f>
        <v>#N/A</v>
      </c>
      <c r="J1174" s="139" t="e">
        <f>VLOOKUP(H1174,Stock_list!A:S,17,FALSE)</f>
        <v>#N/A</v>
      </c>
      <c r="K1174" s="51" t="e">
        <f>VLOOKUP(H1174,Stock_list!A:T,16,FALSE)</f>
        <v>#N/A</v>
      </c>
      <c r="L1174" s="4"/>
      <c r="M1174" s="132">
        <v>80</v>
      </c>
      <c r="P1174" s="4" t="e">
        <f>VLOOKUP(H1174,Stock_list!A:Y,25,FALSE)</f>
        <v>#N/A</v>
      </c>
      <c r="Q1174" s="133"/>
      <c r="T1174" s="144"/>
      <c r="U1174" s="145" t="e">
        <f>VLOOKUP(H1174,Stock_list!A:N,14,FALSE)</f>
        <v>#N/A</v>
      </c>
    </row>
    <row r="1175" spans="1:21" ht="16.5" customHeight="1">
      <c r="A1175" s="159" t="s">
        <v>264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379</v>
      </c>
      <c r="H1175" s="138">
        <v>50</v>
      </c>
      <c r="I1175" s="139" t="e">
        <f>VLOOKUP(H1175,Stock_list!A:R,18,FALSE)</f>
        <v>#N/A</v>
      </c>
      <c r="J1175" s="139" t="e">
        <f>VLOOKUP(H1175,Stock_list!A:S,17,FALSE)</f>
        <v>#N/A</v>
      </c>
      <c r="K1175" s="51" t="e">
        <f>VLOOKUP(H1175,Stock_list!A:T,16,FALSE)</f>
        <v>#N/A</v>
      </c>
      <c r="L1175" s="4"/>
      <c r="M1175" s="132">
        <v>15</v>
      </c>
      <c r="P1175" s="4" t="e">
        <f>VLOOKUP(H1175,Stock_list!A:Y,25,FALSE)</f>
        <v>#N/A</v>
      </c>
      <c r="Q1175" s="133"/>
      <c r="T1175" s="144"/>
      <c r="U1175" s="145" t="e">
        <f>VLOOKUP(H1175,Stock_list!A:N,14,FALSE)</f>
        <v>#N/A</v>
      </c>
    </row>
    <row r="1176" spans="1:21" ht="16.5" customHeight="1">
      <c r="A1176" s="155" t="s">
        <v>274</v>
      </c>
      <c r="B1176" s="114" t="str">
        <f>VLOOKUP(A1176,'Data pick slip'!B:F,5,FALSE)</f>
        <v>KLJ-MC400-00</v>
      </c>
      <c r="C1176" s="156">
        <v>109295</v>
      </c>
      <c r="E1176" s="160" t="e">
        <f>VLOOKUP(C1176,Stock_list!D:L,9,FALSE)</f>
        <v>#N/A</v>
      </c>
      <c r="F1176" s="157" t="s">
        <v>379</v>
      </c>
      <c r="H1176" s="138">
        <v>50</v>
      </c>
      <c r="I1176" s="139" t="e">
        <f>VLOOKUP(H1176,Stock_list!A:R,18,FALSE)</f>
        <v>#N/A</v>
      </c>
      <c r="J1176" s="139" t="e">
        <f>VLOOKUP(H1176,Stock_list!A:S,17,FALSE)</f>
        <v>#N/A</v>
      </c>
      <c r="K1176" s="51" t="e">
        <f>VLOOKUP(H1176,Stock_list!A:T,16,FALSE)</f>
        <v>#N/A</v>
      </c>
      <c r="L1176" s="4"/>
      <c r="M1176" s="207">
        <v>4</v>
      </c>
      <c r="O1176" s="207"/>
      <c r="P1176" s="4" t="e">
        <f>VLOOKUP(H1176,Stock_list!A:Y,25,FALSE)</f>
        <v>#N/A</v>
      </c>
      <c r="Q1176" s="208"/>
      <c r="T1176" s="144"/>
      <c r="U1176" s="145" t="e">
        <f>VLOOKUP(H1176,Stock_list!A:N,14,FALSE)</f>
        <v>#N/A</v>
      </c>
    </row>
    <row r="1177" spans="1:21" ht="16.5" customHeight="1">
      <c r="A1177" s="155" t="s">
        <v>266</v>
      </c>
      <c r="B1177" s="114" t="str">
        <f>VLOOKUP(A1177,'Data pick slip'!B:F,5,FALSE)</f>
        <v>KHJ-MC500-00</v>
      </c>
      <c r="C1177" s="156">
        <v>109295</v>
      </c>
      <c r="E1177" s="160" t="e">
        <f>VLOOKUP(C1177,Stock_list!D:L,9,FALSE)</f>
        <v>#N/A</v>
      </c>
      <c r="F1177" s="157" t="s">
        <v>379</v>
      </c>
      <c r="H1177" s="138">
        <v>50</v>
      </c>
      <c r="I1177" s="139" t="e">
        <f>VLOOKUP(H1177,Stock_list!A:R,18,FALSE)</f>
        <v>#N/A</v>
      </c>
      <c r="J1177" s="139" t="e">
        <f>VLOOKUP(H1177,Stock_list!A:S,17,FALSE)</f>
        <v>#N/A</v>
      </c>
      <c r="K1177" s="51" t="e">
        <f>VLOOKUP(H1177,Stock_list!A:T,16,FALSE)</f>
        <v>#N/A</v>
      </c>
      <c r="L1177" s="4"/>
      <c r="M1177" s="132">
        <v>1</v>
      </c>
      <c r="P1177" s="4" t="e">
        <f>VLOOKUP(H1177,Stock_list!A:Y,25,FALSE)</f>
        <v>#N/A</v>
      </c>
      <c r="Q1177" s="133"/>
      <c r="T1177" s="144"/>
      <c r="U1177" s="145" t="e">
        <f>VLOOKUP(H1177,Stock_list!A:N,14,FALSE)</f>
        <v>#N/A</v>
      </c>
    </row>
    <row r="1178" spans="1:21" ht="16.5" customHeight="1">
      <c r="A1178" s="155" t="s">
        <v>285</v>
      </c>
      <c r="B1178" s="114" t="str">
        <f>VLOOKUP(A1178,'Data pick slip'!B:F,5,FALSE)</f>
        <v>KHJ-MC100-00</v>
      </c>
      <c r="C1178" s="156">
        <v>109454</v>
      </c>
      <c r="E1178" s="160" t="e">
        <f>VLOOKUP(C1178,Stock_list!D:L,9,FALSE)</f>
        <v>#N/A</v>
      </c>
      <c r="F1178" s="157" t="s">
        <v>379</v>
      </c>
      <c r="H1178" s="138">
        <v>100</v>
      </c>
      <c r="I1178" s="139" t="e">
        <f>VLOOKUP(H1178,Stock_list!A:R,18,FALSE)</f>
        <v>#N/A</v>
      </c>
      <c r="J1178" s="139" t="e">
        <f>VLOOKUP(H1178,Stock_list!A:S,17,FALSE)</f>
        <v>#N/A</v>
      </c>
      <c r="K1178" s="51" t="e">
        <f>VLOOKUP(H1178,Stock_list!A:T,16,FALSE)</f>
        <v>#N/A</v>
      </c>
      <c r="L1178" s="4"/>
      <c r="M1178" s="132">
        <v>70</v>
      </c>
      <c r="P1178" s="4" t="e">
        <f>VLOOKUP(H1178,Stock_list!A:Y,25,FALSE)</f>
        <v>#N/A</v>
      </c>
      <c r="Q1178" s="133"/>
      <c r="R1178" s="143"/>
      <c r="T1178" s="144"/>
      <c r="U1178" s="145" t="e">
        <f>VLOOKUP(H1178,Stock_list!A:N,14,FALSE)</f>
        <v>#N/A</v>
      </c>
    </row>
    <row r="1179" spans="1:21" ht="16.5" customHeight="1">
      <c r="A1179" s="159" t="s">
        <v>264</v>
      </c>
      <c r="B1179" s="114" t="str">
        <f>VLOOKUP(A1179,'Data pick slip'!B:F,5,FALSE)</f>
        <v>KHJ-MC200-00</v>
      </c>
      <c r="C1179" s="156">
        <v>109344</v>
      </c>
      <c r="E1179" s="160" t="e">
        <f>VLOOKUP(C1179,Stock_list!D:L,9,FALSE)</f>
        <v>#N/A</v>
      </c>
      <c r="F1179" s="157" t="s">
        <v>379</v>
      </c>
      <c r="H1179" s="138">
        <v>100</v>
      </c>
      <c r="I1179" s="139" t="e">
        <f>VLOOKUP(H1179,Stock_list!A:R,18,FALSE)</f>
        <v>#N/A</v>
      </c>
      <c r="J1179" s="139" t="e">
        <f>VLOOKUP(H1179,Stock_list!A:S,17,FALSE)</f>
        <v>#N/A</v>
      </c>
      <c r="K1179" s="51" t="e">
        <f>VLOOKUP(H1179,Stock_list!A:T,16,FALSE)</f>
        <v>#N/A</v>
      </c>
      <c r="L1179" s="4">
        <v>43521</v>
      </c>
      <c r="M1179" s="132">
        <v>9</v>
      </c>
      <c r="P1179" s="4" t="e">
        <f>VLOOKUP(H1179,Stock_list!A:Y,25,FALSE)</f>
        <v>#N/A</v>
      </c>
      <c r="Q1179" s="133"/>
      <c r="R1179" s="143"/>
      <c r="T1179" s="144"/>
      <c r="U1179" s="145" t="e">
        <f>VLOOKUP(H1179,Stock_list!A:N,14,FALSE)</f>
        <v>#N/A</v>
      </c>
    </row>
    <row r="1180" spans="1:21" ht="16.5" customHeight="1">
      <c r="A1180" s="155" t="s">
        <v>265</v>
      </c>
      <c r="B1180" s="114" t="str">
        <f>VLOOKUP(A1180,'Data pick slip'!B:F,5,FALSE)</f>
        <v>KHJ-MC400-00</v>
      </c>
      <c r="C1180" s="156">
        <v>109336</v>
      </c>
      <c r="E1180" s="160" t="e">
        <f>VLOOKUP(C1180,Stock_list!D:L,9,FALSE)</f>
        <v>#N/A</v>
      </c>
      <c r="F1180" s="157" t="s">
        <v>379</v>
      </c>
      <c r="H1180" s="138">
        <v>100</v>
      </c>
      <c r="I1180" s="139" t="e">
        <f>VLOOKUP(H1180,Stock_list!A:R,18,FALSE)</f>
        <v>#N/A</v>
      </c>
      <c r="J1180" s="139" t="e">
        <f>VLOOKUP(H1180,Stock_list!A:S,17,FALSE)</f>
        <v>#N/A</v>
      </c>
      <c r="K1180" s="51" t="e">
        <f>VLOOKUP(H1180,Stock_list!A:T,16,FALSE)</f>
        <v>#N/A</v>
      </c>
      <c r="L1180" s="4"/>
      <c r="M1180" s="132">
        <v>4</v>
      </c>
      <c r="P1180" s="4" t="e">
        <f>VLOOKUP(H1180,Stock_list!A:Y,25,FALSE)</f>
        <v>#N/A</v>
      </c>
      <c r="Q1180" s="133"/>
      <c r="R1180" s="143"/>
      <c r="T1180" s="144"/>
      <c r="U1180" s="145" t="e">
        <f>VLOOKUP(H1180,Stock_list!A:N,14,FALSE)</f>
        <v>#N/A</v>
      </c>
    </row>
    <row r="1181" spans="1:21" ht="16.5" customHeight="1">
      <c r="A1181" s="155" t="s">
        <v>266</v>
      </c>
      <c r="B1181" s="114" t="str">
        <f>VLOOKUP(A1181,'Data pick slip'!B:F,5,FALSE)</f>
        <v>KHJ-MC500-00</v>
      </c>
      <c r="C1181" s="156">
        <v>109478</v>
      </c>
      <c r="E1181" s="160" t="e">
        <f>VLOOKUP(C1181,Stock_list!D:L,9,FALSE)</f>
        <v>#N/A</v>
      </c>
      <c r="F1181" s="157" t="s">
        <v>379</v>
      </c>
      <c r="H1181" s="138">
        <v>100</v>
      </c>
      <c r="I1181" s="139" t="e">
        <f>VLOOKUP(H1181,Stock_list!A:R,18,FALSE)</f>
        <v>#N/A</v>
      </c>
      <c r="J1181" s="139" t="e">
        <f>VLOOKUP(H1181,Stock_list!A:S,17,FALSE)</f>
        <v>#N/A</v>
      </c>
      <c r="K1181" s="51" t="e">
        <f>VLOOKUP(H1181,Stock_list!A:T,16,FALSE)</f>
        <v>#N/A</v>
      </c>
      <c r="L1181" s="4"/>
      <c r="M1181" s="132">
        <v>4</v>
      </c>
      <c r="P1181" s="4" t="e">
        <f>VLOOKUP(H1181,Stock_list!A:Y,25,FALSE)</f>
        <v>#N/A</v>
      </c>
      <c r="Q1181" s="133"/>
      <c r="R1181" s="143"/>
      <c r="T1181" s="144"/>
      <c r="U1181" s="145" t="e">
        <f>VLOOKUP(H1181,Stock_list!A:N,14,FALSE)</f>
        <v>#N/A</v>
      </c>
    </row>
    <row r="1182" spans="1:21" ht="16.5" customHeight="1">
      <c r="A1182" s="155" t="s">
        <v>267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379</v>
      </c>
      <c r="H1182" s="138">
        <v>100</v>
      </c>
      <c r="I1182" s="139" t="e">
        <f>VLOOKUP(H1182,Stock_list!A:R,18,FALSE)</f>
        <v>#N/A</v>
      </c>
      <c r="J1182" s="139" t="e">
        <f>VLOOKUP(H1182,Stock_list!A:S,17,FALSE)</f>
        <v>#N/A</v>
      </c>
      <c r="K1182" s="51" t="e">
        <f>VLOOKUP(H1182,Stock_list!A:T,16,FALSE)</f>
        <v>#N/A</v>
      </c>
      <c r="L1182" s="4"/>
      <c r="M1182" s="132">
        <v>2</v>
      </c>
      <c r="P1182" s="4" t="e">
        <f>VLOOKUP(H1182,Stock_list!A:Y,25,FALSE)</f>
        <v>#N/A</v>
      </c>
      <c r="Q1182" s="133"/>
      <c r="R1182" s="143"/>
      <c r="T1182" s="144"/>
      <c r="U1182" s="145" t="e">
        <f>VLOOKUP(H1182,Stock_list!A:N,14,FALSE)</f>
        <v>#N/A</v>
      </c>
    </row>
    <row r="1183" spans="1:21" ht="27" customHeight="1">
      <c r="A1183" s="155" t="s">
        <v>285</v>
      </c>
      <c r="B1183" s="114" t="str">
        <f>VLOOKUP(A1183,'Data pick slip'!B:F,5,FALSE)</f>
        <v>KHJ-MC100-00</v>
      </c>
      <c r="C1183" s="156">
        <v>109331</v>
      </c>
      <c r="E1183" s="160" t="e">
        <f>VLOOKUP(C1183,Stock_list!D:L,9,FALSE)</f>
        <v>#N/A</v>
      </c>
      <c r="F1183" s="157" t="s">
        <v>378</v>
      </c>
      <c r="H1183" s="138">
        <v>48</v>
      </c>
      <c r="I1183" s="139" t="e">
        <f>VLOOKUP(H1183,Stock_list!A:R,18,FALSE)</f>
        <v>#N/A</v>
      </c>
      <c r="J1183" s="139" t="e">
        <f>VLOOKUP(H1183,Stock_list!A:S,17,FALSE)</f>
        <v>#N/A</v>
      </c>
      <c r="K1183" s="51" t="e">
        <f>VLOOKUP(H1183,Stock_list!A:T,16,FALSE)</f>
        <v>#N/A</v>
      </c>
      <c r="L1183" s="4"/>
      <c r="M1183" s="132">
        <v>70</v>
      </c>
      <c r="P1183" s="4" t="e">
        <f>VLOOKUP(H1183,Stock_list!A:Y,25,FALSE)</f>
        <v>#N/A</v>
      </c>
      <c r="Q1183" s="143"/>
      <c r="R1183" s="143"/>
      <c r="T1183" s="144"/>
      <c r="U1183" s="145" t="e">
        <f>VLOOKUP(H1183,Stock_list!A:N,14,FALSE)</f>
        <v>#N/A</v>
      </c>
    </row>
    <row r="1184" spans="1:21" ht="27" customHeight="1">
      <c r="A1184" s="159" t="s">
        <v>264</v>
      </c>
      <c r="B1184" s="114" t="str">
        <f>VLOOKUP(A1184,'Data pick slip'!B:F,5,FALSE)</f>
        <v>KHJ-MC200-00</v>
      </c>
      <c r="C1184" s="156">
        <v>109331</v>
      </c>
      <c r="E1184" s="160" t="e">
        <f>VLOOKUP(C1184,Stock_list!D:L,9,FALSE)</f>
        <v>#N/A</v>
      </c>
      <c r="F1184" s="157" t="s">
        <v>378</v>
      </c>
      <c r="H1184" s="138">
        <v>48</v>
      </c>
      <c r="I1184" s="139" t="e">
        <f>VLOOKUP(H1184,Stock_list!A:R,18,FALSE)</f>
        <v>#N/A</v>
      </c>
      <c r="J1184" s="139" t="e">
        <f>VLOOKUP(H1184,Stock_list!A:S,17,FALSE)</f>
        <v>#N/A</v>
      </c>
      <c r="K1184" s="51" t="e">
        <f>VLOOKUP(H1184,Stock_list!A:T,16,FALSE)</f>
        <v>#N/A</v>
      </c>
      <c r="L1184" s="4" t="s">
        <v>542</v>
      </c>
      <c r="M1184" s="132">
        <v>10</v>
      </c>
      <c r="P1184" s="4" t="e">
        <f>VLOOKUP(H1184,Stock_list!A:Y,25,FALSE)</f>
        <v>#N/A</v>
      </c>
      <c r="Q1184" s="143"/>
      <c r="R1184" s="143"/>
      <c r="T1184" s="144"/>
      <c r="U1184" s="145" t="e">
        <f>VLOOKUP(H1184,Stock_list!A:N,14,FALSE)</f>
        <v>#N/A</v>
      </c>
    </row>
    <row r="1185" spans="1:21" ht="27" customHeight="1">
      <c r="A1185" s="155" t="s">
        <v>265</v>
      </c>
      <c r="B1185" s="114" t="str">
        <f>VLOOKUP(A1185,'Data pick slip'!B:F,5,FALSE)</f>
        <v>KHJ-MC400-00</v>
      </c>
      <c r="C1185" s="156">
        <v>109331</v>
      </c>
      <c r="E1185" s="160" t="e">
        <f>VLOOKUP(C1185,Stock_list!D:L,9,FALSE)</f>
        <v>#N/A</v>
      </c>
      <c r="F1185" s="157" t="s">
        <v>378</v>
      </c>
      <c r="H1185" s="138">
        <v>48</v>
      </c>
      <c r="I1185" s="139" t="e">
        <f>VLOOKUP(H1185,Stock_list!A:R,18,FALSE)</f>
        <v>#N/A</v>
      </c>
      <c r="J1185" s="139" t="e">
        <f>VLOOKUP(H1185,Stock_list!A:S,17,FALSE)</f>
        <v>#N/A</v>
      </c>
      <c r="K1185" s="51" t="e">
        <f>VLOOKUP(H1185,Stock_list!A:T,16,FALSE)</f>
        <v>#N/A</v>
      </c>
      <c r="L1185" s="4"/>
      <c r="M1185" s="132">
        <v>5</v>
      </c>
      <c r="P1185" s="4" t="e">
        <f>VLOOKUP(H1185,Stock_list!A:Y,25,FALSE)</f>
        <v>#N/A</v>
      </c>
      <c r="Q1185" s="143"/>
      <c r="R1185" s="143"/>
      <c r="T1185" s="144"/>
      <c r="U1185" s="145" t="e">
        <f>VLOOKUP(H1185,Stock_list!A:N,14,FALSE)</f>
        <v>#N/A</v>
      </c>
    </row>
    <row r="1186" spans="1:21" ht="27" customHeight="1">
      <c r="A1186" s="155" t="s">
        <v>266</v>
      </c>
      <c r="B1186" s="114" t="str">
        <f>VLOOKUP(A1186,'Data pick slip'!B:F,5,FALSE)</f>
        <v>KHJ-MC500-00</v>
      </c>
      <c r="C1186" s="156">
        <v>109331</v>
      </c>
      <c r="E1186" s="160" t="e">
        <f>VLOOKUP(C1186,Stock_list!D:L,9,FALSE)</f>
        <v>#N/A</v>
      </c>
      <c r="F1186" s="157" t="s">
        <v>378</v>
      </c>
      <c r="H1186" s="138">
        <v>48</v>
      </c>
      <c r="I1186" s="139" t="e">
        <f>VLOOKUP(H1186,Stock_list!A:R,18,FALSE)</f>
        <v>#N/A</v>
      </c>
      <c r="J1186" s="139" t="e">
        <f>VLOOKUP(H1186,Stock_list!A:S,17,FALSE)</f>
        <v>#N/A</v>
      </c>
      <c r="K1186" s="51" t="e">
        <f>VLOOKUP(H1186,Stock_list!A:T,16,FALSE)</f>
        <v>#N/A</v>
      </c>
      <c r="L1186" s="4"/>
      <c r="M1186" s="132">
        <v>2</v>
      </c>
      <c r="P1186" s="4" t="e">
        <f>VLOOKUP(H1186,Stock_list!A:Y,25,FALSE)</f>
        <v>#N/A</v>
      </c>
      <c r="Q1186" s="143"/>
      <c r="R1186" s="143"/>
      <c r="T1186" s="144"/>
      <c r="U1186" s="145" t="e">
        <f>VLOOKUP(H1186,Stock_list!A:N,14,FALSE)</f>
        <v>#N/A</v>
      </c>
    </row>
    <row r="1187" spans="1:21" ht="27" customHeight="1">
      <c r="A1187" s="155" t="s">
        <v>267</v>
      </c>
      <c r="B1187" s="114" t="str">
        <f>VLOOKUP(A1187,'Data pick slip'!B:F,5,FALSE)</f>
        <v>KHJ-MC600-00</v>
      </c>
      <c r="C1187" s="156">
        <v>109331</v>
      </c>
      <c r="E1187" s="160" t="e">
        <f>VLOOKUP(C1187,Stock_list!D:L,9,FALSE)</f>
        <v>#N/A</v>
      </c>
      <c r="F1187" s="157" t="s">
        <v>378</v>
      </c>
      <c r="H1187" s="138">
        <v>48</v>
      </c>
      <c r="I1187" s="139" t="e">
        <f>VLOOKUP(H1187,Stock_list!A:R,18,FALSE)</f>
        <v>#N/A</v>
      </c>
      <c r="J1187" s="139" t="e">
        <f>VLOOKUP(H1187,Stock_list!A:S,17,FALSE)</f>
        <v>#N/A</v>
      </c>
      <c r="K1187" s="51" t="e">
        <f>VLOOKUP(H1187,Stock_list!A:T,16,FALSE)</f>
        <v>#N/A</v>
      </c>
      <c r="L1187" s="4"/>
      <c r="M1187" s="132">
        <v>1</v>
      </c>
      <c r="P1187" s="4" t="e">
        <f>VLOOKUP(H1187,Stock_list!A:Y,25,FALSE)</f>
        <v>#N/A</v>
      </c>
      <c r="Q1187" s="143"/>
      <c r="R1187" s="143"/>
      <c r="T1187" s="144"/>
      <c r="U1187" s="145" t="e">
        <f>VLOOKUP(H1187,Stock_list!A:N,14,FALSE)</f>
        <v>#N/A</v>
      </c>
    </row>
    <row r="1188" spans="1:21" ht="16.5" customHeight="1">
      <c r="A1188" s="155" t="s">
        <v>285</v>
      </c>
      <c r="B1188" s="114" t="str">
        <f>VLOOKUP(A1188,'Data pick slip'!B:F,5,FALSE)</f>
        <v>KHJ-MC100-00</v>
      </c>
      <c r="C1188" s="156">
        <v>109389</v>
      </c>
      <c r="E1188" s="160" t="e">
        <f>VLOOKUP(C1188,Stock_list!D:L,9,FALSE)</f>
        <v>#N/A</v>
      </c>
      <c r="F1188" s="157" t="s">
        <v>379</v>
      </c>
      <c r="H1188" s="138">
        <v>291</v>
      </c>
      <c r="I1188" s="139" t="e">
        <f>VLOOKUP(H1188,Stock_list!A:R,18,FALSE)</f>
        <v>#N/A</v>
      </c>
      <c r="J1188" s="139" t="e">
        <f>VLOOKUP(H1188,Stock_list!A:S,17,FALSE)</f>
        <v>#N/A</v>
      </c>
      <c r="K1188" s="51" t="e">
        <f>VLOOKUP(H1188,Stock_list!A:T,16,FALSE)</f>
        <v>#N/A</v>
      </c>
      <c r="L1188" s="4">
        <v>43686</v>
      </c>
      <c r="M1188" s="132">
        <v>30</v>
      </c>
      <c r="P1188" s="4" t="e">
        <f>VLOOKUP(H1188,Stock_list!A:Y,25,FALSE)</f>
        <v>#N/A</v>
      </c>
      <c r="Q1188" s="133"/>
      <c r="R1188" s="143"/>
      <c r="T1188" s="144"/>
      <c r="U1188" s="145" t="e">
        <f>VLOOKUP(H1188,Stock_list!A:N,14,FALSE)</f>
        <v>#N/A</v>
      </c>
    </row>
    <row r="1189" spans="1:21" ht="16.5" customHeight="1">
      <c r="A1189" s="159" t="s">
        <v>264</v>
      </c>
      <c r="B1189" s="114" t="str">
        <f>VLOOKUP(A1189,'Data pick slip'!B:F,5,FALSE)</f>
        <v>KHJ-MC200-00</v>
      </c>
      <c r="C1189" s="156">
        <v>109389</v>
      </c>
      <c r="E1189" s="160" t="e">
        <f>VLOOKUP(C1189,Stock_list!D:L,9,FALSE)</f>
        <v>#N/A</v>
      </c>
      <c r="F1189" s="157" t="s">
        <v>379</v>
      </c>
      <c r="H1189" s="138">
        <v>291</v>
      </c>
      <c r="I1189" s="139" t="e">
        <f>VLOOKUP(H1189,Stock_list!A:R,18,FALSE)</f>
        <v>#N/A</v>
      </c>
      <c r="J1189" s="139" t="e">
        <f>VLOOKUP(H1189,Stock_list!A:S,17,FALSE)</f>
        <v>#N/A</v>
      </c>
      <c r="K1189" s="51" t="e">
        <f>VLOOKUP(H1189,Stock_list!A:T,16,FALSE)</f>
        <v>#N/A</v>
      </c>
      <c r="L1189" s="4">
        <v>43686</v>
      </c>
      <c r="M1189" s="140">
        <v>5</v>
      </c>
      <c r="P1189" s="4" t="e">
        <f>VLOOKUP(H1189,Stock_list!A:Y,25,FALSE)</f>
        <v>#N/A</v>
      </c>
      <c r="Q1189" s="133"/>
      <c r="R1189" s="143"/>
      <c r="T1189" s="205"/>
      <c r="U1189" s="145" t="e">
        <f>VLOOKUP(H1189,Stock_list!A:N,14,FALSE)</f>
        <v>#N/A</v>
      </c>
    </row>
    <row r="1190" spans="1:21" ht="16.5" customHeight="1">
      <c r="A1190" s="159" t="s">
        <v>264</v>
      </c>
      <c r="B1190" s="114" t="str">
        <f>VLOOKUP(A1190,'Data pick slip'!B:F,5,FALSE)</f>
        <v>KHJ-MC200-00</v>
      </c>
      <c r="C1190" s="156">
        <v>109389</v>
      </c>
      <c r="E1190" s="160" t="e">
        <f>VLOOKUP(C1190,Stock_list!D:L,9,FALSE)</f>
        <v>#N/A</v>
      </c>
      <c r="F1190" s="157" t="s">
        <v>379</v>
      </c>
      <c r="H1190" s="138">
        <v>291</v>
      </c>
      <c r="I1190" s="139" t="e">
        <f>VLOOKUP(H1190,Stock_list!A:R,18,FALSE)</f>
        <v>#N/A</v>
      </c>
      <c r="J1190" s="139" t="e">
        <f>VLOOKUP(H1190,Stock_list!A:S,17,FALSE)</f>
        <v>#N/A</v>
      </c>
      <c r="K1190" s="51" t="e">
        <f>VLOOKUP(H1190,Stock_list!A:T,16,FALSE)</f>
        <v>#N/A</v>
      </c>
      <c r="L1190" s="4">
        <v>43686</v>
      </c>
      <c r="M1190" s="140">
        <v>1</v>
      </c>
      <c r="P1190" s="4" t="e">
        <f>VLOOKUP(H1190,Stock_list!A:Y,25,FALSE)</f>
        <v>#N/A</v>
      </c>
      <c r="Q1190" s="133"/>
      <c r="R1190" s="143"/>
      <c r="T1190" s="144"/>
      <c r="U1190" s="145" t="e">
        <f>VLOOKUP(H1190,Stock_list!A:N,14,FALSE)</f>
        <v>#N/A</v>
      </c>
    </row>
    <row r="1191" spans="1:21" ht="16.5" customHeight="1">
      <c r="A1191" s="155" t="s">
        <v>272</v>
      </c>
      <c r="B1191" s="114" t="str">
        <f>VLOOKUP(A1191,'Data pick slip'!B:F,5,FALSE)</f>
        <v>KLJ-MC100-00</v>
      </c>
      <c r="C1191" s="156">
        <v>109421</v>
      </c>
      <c r="F1191" s="157" t="s">
        <v>379</v>
      </c>
      <c r="H1191" s="138">
        <v>239</v>
      </c>
      <c r="I1191" s="139" t="e">
        <f>VLOOKUP(H1191,Stock_list!A:R,18,FALSE)</f>
        <v>#N/A</v>
      </c>
      <c r="J1191" s="139" t="e">
        <f>VLOOKUP(H1191,Stock_list!A:S,17,FALSE)</f>
        <v>#N/A</v>
      </c>
      <c r="K1191" s="51" t="e">
        <f>VLOOKUP(H1191,Stock_list!A:T,16,FALSE)</f>
        <v>#N/A</v>
      </c>
      <c r="L1191" s="4"/>
      <c r="M1191" s="132">
        <v>25</v>
      </c>
      <c r="P1191" s="4" t="e">
        <f>VLOOKUP(H1191,Stock_list!A:Y,25,FALSE)</f>
        <v>#N/A</v>
      </c>
      <c r="Q1191" s="133"/>
      <c r="R1191" s="143"/>
      <c r="T1191" s="144"/>
      <c r="U1191" s="145" t="e">
        <f>VLOOKUP(H1191,Stock_list!A:N,14,FALSE)</f>
        <v>#N/A</v>
      </c>
    </row>
    <row r="1192" spans="1:21" ht="16.5" customHeight="1">
      <c r="A1192" s="159" t="s">
        <v>264</v>
      </c>
      <c r="B1192" s="114" t="str">
        <f>VLOOKUP(A1192,'Data pick slip'!B:F,5,FALSE)</f>
        <v>KHJ-MC200-00</v>
      </c>
      <c r="C1192" s="156">
        <v>109421</v>
      </c>
      <c r="F1192" s="157" t="s">
        <v>379</v>
      </c>
      <c r="H1192" s="138">
        <v>239</v>
      </c>
      <c r="I1192" s="139" t="e">
        <f>VLOOKUP(H1192,Stock_list!A:R,18,FALSE)</f>
        <v>#N/A</v>
      </c>
      <c r="J1192" s="139" t="e">
        <f>VLOOKUP(H1192,Stock_list!A:S,17,FALSE)</f>
        <v>#N/A</v>
      </c>
      <c r="K1192" s="51" t="e">
        <f>VLOOKUP(H1192,Stock_list!A:T,16,FALSE)</f>
        <v>#N/A</v>
      </c>
      <c r="L1192" s="4" t="s">
        <v>542</v>
      </c>
      <c r="M1192" s="132">
        <v>15</v>
      </c>
      <c r="P1192" s="4" t="e">
        <f>VLOOKUP(H1192,Stock_list!A:Y,25,FALSE)</f>
        <v>#N/A</v>
      </c>
      <c r="Q1192" s="133"/>
      <c r="R1192" s="143"/>
      <c r="T1192" s="144"/>
      <c r="U1192" s="145" t="e">
        <f>VLOOKUP(H1192,Stock_list!A:N,14,FALSE)</f>
        <v>#N/A</v>
      </c>
    </row>
    <row r="1193" spans="1:21" ht="16.5" customHeight="1">
      <c r="A1193" s="155" t="s">
        <v>274</v>
      </c>
      <c r="B1193" s="114" t="str">
        <f>VLOOKUP(A1193,'Data pick slip'!B:F,5,FALSE)</f>
        <v>KLJ-MC400-00</v>
      </c>
      <c r="C1193" s="156">
        <v>109421</v>
      </c>
      <c r="F1193" s="157" t="s">
        <v>290</v>
      </c>
      <c r="H1193" s="138">
        <v>239</v>
      </c>
      <c r="I1193" s="139" t="e">
        <f>VLOOKUP(H1193,Stock_list!A:R,18,FALSE)</f>
        <v>#N/A</v>
      </c>
      <c r="J1193" s="139" t="e">
        <f>VLOOKUP(H1193,Stock_list!A:S,17,FALSE)</f>
        <v>#N/A</v>
      </c>
      <c r="K1193" s="51" t="e">
        <f>VLOOKUP(H1193,Stock_list!A:T,16,FALSE)</f>
        <v>#N/A</v>
      </c>
      <c r="L1193" s="4"/>
      <c r="M1193" s="132">
        <v>2</v>
      </c>
      <c r="P1193" s="4" t="e">
        <f>VLOOKUP(H1193,Stock_list!A:Y,25,FALSE)</f>
        <v>#N/A</v>
      </c>
      <c r="Q1193" s="133"/>
      <c r="R1193" s="143"/>
      <c r="S1193" s="123" t="s">
        <v>521</v>
      </c>
      <c r="T1193" s="144" t="s">
        <v>543</v>
      </c>
      <c r="U1193" s="145" t="e">
        <f>VLOOKUP(H1193,Stock_list!A:N,14,FALSE)</f>
        <v>#N/A</v>
      </c>
    </row>
    <row r="1194" spans="1:21" ht="16.5" customHeight="1">
      <c r="A1194" s="159" t="s">
        <v>272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378</v>
      </c>
      <c r="H1194" s="138">
        <v>123</v>
      </c>
      <c r="I1194" s="139" t="e">
        <f>VLOOKUP(H1194,Stock_list!A:R,18,FALSE)</f>
        <v>#N/A</v>
      </c>
      <c r="J1194" s="139" t="e">
        <f>VLOOKUP(H1194,Stock_list!A:S,17,FALSE)</f>
        <v>#N/A</v>
      </c>
      <c r="K1194" s="51" t="e">
        <f>VLOOKUP(H1194,Stock_list!A:T,16,FALSE)</f>
        <v>#N/A</v>
      </c>
      <c r="L1194" s="4" t="s">
        <v>544</v>
      </c>
      <c r="M1194" s="132">
        <v>60</v>
      </c>
      <c r="P1194" s="4" t="e">
        <f>VLOOKUP(H1194,Stock_list!A:Y,25,FALSE)</f>
        <v>#N/A</v>
      </c>
      <c r="Q1194" s="143"/>
      <c r="T1194" s="144"/>
      <c r="U1194" s="145" t="e">
        <f>VLOOKUP(H1194,Stock_list!A:N,14,FALSE)</f>
        <v>#N/A</v>
      </c>
    </row>
    <row r="1195" spans="1:21" ht="16.5" customHeight="1">
      <c r="A1195" s="155" t="s">
        <v>273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378</v>
      </c>
      <c r="H1195" s="138">
        <v>123</v>
      </c>
      <c r="I1195" s="139" t="e">
        <f>VLOOKUP(H1195,Stock_list!A:R,18,FALSE)</f>
        <v>#N/A</v>
      </c>
      <c r="J1195" s="139" t="e">
        <f>VLOOKUP(H1195,Stock_list!A:S,17,FALSE)</f>
        <v>#N/A</v>
      </c>
      <c r="K1195" s="51" t="e">
        <f>VLOOKUP(H1195,Stock_list!A:T,16,FALSE)</f>
        <v>#N/A</v>
      </c>
      <c r="L1195" s="4" t="s">
        <v>544</v>
      </c>
      <c r="M1195" s="132">
        <v>10</v>
      </c>
      <c r="P1195" s="4" t="e">
        <f>VLOOKUP(H1195,Stock_list!A:Y,25,FALSE)</f>
        <v>#N/A</v>
      </c>
      <c r="T1195" s="144"/>
      <c r="U1195" s="145" t="e">
        <f>VLOOKUP(H1195,Stock_list!A:N,14,FALSE)</f>
        <v>#N/A</v>
      </c>
    </row>
    <row r="1196" spans="1:21" ht="16.5" customHeight="1">
      <c r="A1196" s="159" t="s">
        <v>264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375</v>
      </c>
      <c r="I1196" s="139" t="s">
        <v>371</v>
      </c>
      <c r="J1196" s="139" t="s">
        <v>545</v>
      </c>
      <c r="K1196" s="51" t="s">
        <v>225</v>
      </c>
      <c r="L1196" s="4" t="s">
        <v>542</v>
      </c>
      <c r="M1196" s="140">
        <v>20</v>
      </c>
      <c r="P1196" s="4" t="s">
        <v>214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266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375</v>
      </c>
      <c r="I1197" s="139" t="s">
        <v>371</v>
      </c>
      <c r="J1197" s="139" t="s">
        <v>545</v>
      </c>
      <c r="K1197" s="51" t="s">
        <v>225</v>
      </c>
      <c r="L1197" s="4"/>
      <c r="M1197" s="140">
        <v>3</v>
      </c>
      <c r="P1197" s="4" t="s">
        <v>214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285</v>
      </c>
      <c r="B1198" s="114" t="str">
        <f>VLOOKUP(A1198,'Data pick slip'!B:F,5,FALSE)</f>
        <v>KHJ-MC100-00</v>
      </c>
      <c r="C1198" s="156">
        <v>109421</v>
      </c>
      <c r="D1198" s="206"/>
      <c r="E1198" s="160" t="e">
        <f>VLOOKUP(C1198,Stock_list!D:L,9,FALSE)</f>
        <v>#N/A</v>
      </c>
      <c r="F1198" s="157" t="s">
        <v>379</v>
      </c>
      <c r="G1198" s="132"/>
      <c r="H1198" s="138">
        <v>131</v>
      </c>
      <c r="I1198" s="139" t="e">
        <f>VLOOKUP(H1198,Stock_list!A:R,18,FALSE)</f>
        <v>#N/A</v>
      </c>
      <c r="J1198" s="139" t="e">
        <f>VLOOKUP(H1198,Stock_list!A:S,17,FALSE)</f>
        <v>#N/A</v>
      </c>
      <c r="K1198" s="51" t="e">
        <f>VLOOKUP(H1198,Stock_list!A:T,16,FALSE)</f>
        <v>#N/A</v>
      </c>
      <c r="L1198" s="4"/>
      <c r="M1198" s="132">
        <v>150</v>
      </c>
      <c r="N1198" s="130"/>
      <c r="O1198" s="132"/>
      <c r="P1198" s="4" t="e">
        <f>VLOOKUP(H1198,Stock_list!A:Y,25,FALSE)</f>
        <v>#N/A</v>
      </c>
      <c r="Q1198" s="133"/>
      <c r="R1198" s="134"/>
      <c r="S1198" s="123"/>
      <c r="T1198" s="144"/>
      <c r="U1198" s="145" t="e">
        <f>VLOOKUP(H1198,Stock_list!A:N,14,FALSE)</f>
        <v>#N/A</v>
      </c>
    </row>
    <row r="1199" spans="1:21" s="142" customFormat="1" ht="16.5" customHeight="1">
      <c r="A1199" s="159" t="s">
        <v>264</v>
      </c>
      <c r="B1199" s="114" t="str">
        <f>VLOOKUP(A1199,'Data pick slip'!B:F,5,FALSE)</f>
        <v>KHJ-MC200-00</v>
      </c>
      <c r="C1199" s="156">
        <v>109421</v>
      </c>
      <c r="D1199" s="206"/>
      <c r="E1199" s="160" t="e">
        <f>VLOOKUP(C1199,Stock_list!D:L,9,FALSE)</f>
        <v>#N/A</v>
      </c>
      <c r="F1199" s="157" t="s">
        <v>379</v>
      </c>
      <c r="G1199" s="132"/>
      <c r="H1199" s="138">
        <v>131</v>
      </c>
      <c r="I1199" s="139" t="e">
        <f>VLOOKUP(H1199,Stock_list!A:R,18,FALSE)</f>
        <v>#N/A</v>
      </c>
      <c r="J1199" s="139" t="e">
        <f>VLOOKUP(H1199,Stock_list!A:S,17,FALSE)</f>
        <v>#N/A</v>
      </c>
      <c r="K1199" s="51" t="e">
        <f>VLOOKUP(H1199,Stock_list!A:T,16,FALSE)</f>
        <v>#N/A</v>
      </c>
      <c r="L1199" s="4" t="s">
        <v>542</v>
      </c>
      <c r="M1199" s="132">
        <v>35</v>
      </c>
      <c r="N1199" s="130"/>
      <c r="O1199" s="132"/>
      <c r="P1199" s="4" t="e">
        <f>VLOOKUP(H1199,Stock_list!A:Y,25,FALSE)</f>
        <v>#N/A</v>
      </c>
      <c r="Q1199" s="133"/>
      <c r="R1199" s="134"/>
      <c r="S1199" s="123"/>
      <c r="T1199" s="144"/>
      <c r="U1199" s="145" t="e">
        <f>VLOOKUP(H1199,Stock_list!A:N,14,FALSE)</f>
        <v>#N/A</v>
      </c>
    </row>
    <row r="1200" spans="1:21" s="142" customFormat="1" ht="16.5" customHeight="1">
      <c r="A1200" s="155" t="s">
        <v>265</v>
      </c>
      <c r="B1200" s="114" t="str">
        <f>VLOOKUP(A1200,'Data pick slip'!B:F,5,FALSE)</f>
        <v>KHJ-MC400-00</v>
      </c>
      <c r="C1200" s="156">
        <v>109295</v>
      </c>
      <c r="D1200" s="206"/>
      <c r="E1200" s="160" t="e">
        <f>VLOOKUP(C1200,Stock_list!D:L,9,FALSE)</f>
        <v>#N/A</v>
      </c>
      <c r="F1200" s="157" t="s">
        <v>379</v>
      </c>
      <c r="G1200" s="132"/>
      <c r="H1200" s="138">
        <v>131</v>
      </c>
      <c r="I1200" s="139" t="e">
        <f>VLOOKUP(H1200,Stock_list!A:R,18,FALSE)</f>
        <v>#N/A</v>
      </c>
      <c r="J1200" s="139" t="e">
        <f>VLOOKUP(H1200,Stock_list!A:S,17,FALSE)</f>
        <v>#N/A</v>
      </c>
      <c r="K1200" s="51" t="e">
        <f>VLOOKUP(H1200,Stock_list!A:T,16,FALSE)</f>
        <v>#N/A</v>
      </c>
      <c r="L1200" s="4"/>
      <c r="M1200" s="132">
        <v>16</v>
      </c>
      <c r="N1200" s="130"/>
      <c r="O1200" s="132"/>
      <c r="P1200" s="4" t="e">
        <f>VLOOKUP(H1200,Stock_list!A:Y,25,FALSE)</f>
        <v>#N/A</v>
      </c>
      <c r="Q1200" s="133"/>
      <c r="R1200" s="134"/>
      <c r="S1200" s="123"/>
      <c r="T1200" s="144"/>
      <c r="U1200" s="145" t="e">
        <f>VLOOKUP(H1200,Stock_list!A:N,14,FALSE)</f>
        <v>#N/A</v>
      </c>
    </row>
    <row r="1201" spans="1:21" s="142" customFormat="1" ht="16.5" customHeight="1">
      <c r="A1201" s="155" t="s">
        <v>266</v>
      </c>
      <c r="B1201" s="114" t="str">
        <f>VLOOKUP(A1201,'Data pick slip'!B:F,5,FALSE)</f>
        <v>KHJ-MC500-00</v>
      </c>
      <c r="C1201" s="156">
        <v>109295</v>
      </c>
      <c r="D1201" s="206"/>
      <c r="E1201" s="160" t="e">
        <f>VLOOKUP(C1201,Stock_list!D:L,9,FALSE)</f>
        <v>#N/A</v>
      </c>
      <c r="F1201" s="157" t="s">
        <v>379</v>
      </c>
      <c r="G1201" s="132"/>
      <c r="H1201" s="138">
        <v>131</v>
      </c>
      <c r="I1201" s="139" t="e">
        <f>VLOOKUP(H1201,Stock_list!A:R,18,FALSE)</f>
        <v>#N/A</v>
      </c>
      <c r="J1201" s="139" t="e">
        <f>VLOOKUP(H1201,Stock_list!A:S,17,FALSE)</f>
        <v>#N/A</v>
      </c>
      <c r="K1201" s="51" t="e">
        <f>VLOOKUP(H1201,Stock_list!A:T,16,FALSE)</f>
        <v>#N/A</v>
      </c>
      <c r="L1201" s="4"/>
      <c r="M1201" s="132">
        <v>3</v>
      </c>
      <c r="N1201" s="130"/>
      <c r="O1201" s="132"/>
      <c r="P1201" s="4" t="e">
        <f>VLOOKUP(H1201,Stock_list!A:Y,25,FALSE)</f>
        <v>#N/A</v>
      </c>
      <c r="Q1201" s="133"/>
      <c r="R1201" s="134"/>
      <c r="S1201" s="123"/>
      <c r="T1201" s="144"/>
      <c r="U1201" s="145" t="e">
        <f>VLOOKUP(H1201,Stock_list!A:N,14,FALSE)</f>
        <v>#N/A</v>
      </c>
    </row>
    <row r="1202" spans="1:21" s="142" customFormat="1" ht="16.5" customHeight="1">
      <c r="A1202" s="155" t="s">
        <v>267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379</v>
      </c>
      <c r="G1202" s="132"/>
      <c r="H1202" s="138">
        <v>131</v>
      </c>
      <c r="I1202" s="139" t="e">
        <f>VLOOKUP(H1202,Stock_list!A:R,18,FALSE)</f>
        <v>#N/A</v>
      </c>
      <c r="J1202" s="139" t="e">
        <f>VLOOKUP(H1202,Stock_list!A:S,17,FALSE)</f>
        <v>#N/A</v>
      </c>
      <c r="K1202" s="51" t="e">
        <f>VLOOKUP(H1202,Stock_list!A:T,16,FALSE)</f>
        <v>#N/A</v>
      </c>
      <c r="L1202" s="4"/>
      <c r="M1202" s="132">
        <v>1</v>
      </c>
      <c r="N1202" s="130"/>
      <c r="O1202" s="132"/>
      <c r="P1202" s="4" t="e">
        <f>VLOOKUP(H1202,Stock_list!A:Y,25,FALSE)</f>
        <v>#N/A</v>
      </c>
      <c r="Q1202" s="133"/>
      <c r="R1202" s="134"/>
      <c r="S1202" s="123"/>
      <c r="T1202" s="144"/>
      <c r="U1202" s="145" t="e">
        <f>VLOOKUP(H1202,Stock_list!A:N,14,FALSE)</f>
        <v>#N/A</v>
      </c>
    </row>
    <row r="1203" spans="1:21" s="142" customFormat="1" ht="16.5" customHeight="1">
      <c r="A1203" s="127" t="s">
        <v>277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290</v>
      </c>
      <c r="G1203" s="132"/>
      <c r="H1203" s="138">
        <v>131</v>
      </c>
      <c r="I1203" s="139" t="e">
        <f>VLOOKUP(H1203,Stock_list!A:R,18,FALSE)</f>
        <v>#N/A</v>
      </c>
      <c r="J1203" s="139" t="e">
        <f>VLOOKUP(H1203,Stock_list!A:S,17,FALSE)</f>
        <v>#N/A</v>
      </c>
      <c r="K1203" s="51" t="e">
        <f>VLOOKUP(H1203,Stock_list!A:T,16,FALSE)</f>
        <v>#N/A</v>
      </c>
      <c r="L1203" s="4"/>
      <c r="M1203" s="132">
        <v>1</v>
      </c>
      <c r="N1203" s="130"/>
      <c r="O1203" s="132"/>
      <c r="P1203" s="4" t="e">
        <f>VLOOKUP(H1203,Stock_list!A:Y,25,FALSE)</f>
        <v>#N/A</v>
      </c>
      <c r="Q1203" s="133"/>
      <c r="R1203" s="134"/>
      <c r="S1203" s="123" t="s">
        <v>521</v>
      </c>
      <c r="T1203" s="144" t="s">
        <v>541</v>
      </c>
      <c r="U1203" s="145" t="e">
        <f>VLOOKUP(H1203,Stock_list!A:N,14,FALSE)</f>
        <v>#N/A</v>
      </c>
    </row>
    <row r="1204" spans="1:21" s="142" customFormat="1" ht="16.5" customHeight="1">
      <c r="A1204" s="155" t="s">
        <v>285</v>
      </c>
      <c r="B1204" s="114" t="str">
        <f>VLOOKUP(A1204,'Data pick slip'!B:F,5,FALSE)</f>
        <v>KHJ-MC100-00</v>
      </c>
      <c r="C1204" s="156">
        <v>109352</v>
      </c>
      <c r="D1204" s="206"/>
      <c r="E1204" s="160" t="e">
        <f>VLOOKUP(C1204,Stock_list!D:L,9,FALSE)</f>
        <v>#N/A</v>
      </c>
      <c r="F1204" s="157" t="s">
        <v>378</v>
      </c>
      <c r="G1204" s="132"/>
      <c r="H1204" s="138">
        <v>149</v>
      </c>
      <c r="I1204" s="139" t="e">
        <f>VLOOKUP(H1204,Stock_list!A:R,18,FALSE)</f>
        <v>#N/A</v>
      </c>
      <c r="J1204" s="139" t="e">
        <f>VLOOKUP(H1204,Stock_list!A:S,17,FALSE)</f>
        <v>#N/A</v>
      </c>
      <c r="K1204" s="51" t="e">
        <f>VLOOKUP(H1204,Stock_list!A:T,16,FALSE)</f>
        <v>#N/A</v>
      </c>
      <c r="L1204" s="4"/>
      <c r="M1204" s="132">
        <v>60</v>
      </c>
      <c r="N1204" s="130"/>
      <c r="O1204" s="132"/>
      <c r="P1204" s="4" t="e">
        <f>VLOOKUP(H1204,Stock_list!A:Y,25,FALSE)</f>
        <v>#N/A</v>
      </c>
      <c r="R1204" s="143"/>
      <c r="S1204" s="123"/>
      <c r="T1204" s="144"/>
      <c r="U1204" s="145" t="e">
        <f>VLOOKUP(H1204,Stock_list!A:N,14,FALSE)</f>
        <v>#N/A</v>
      </c>
    </row>
    <row r="1205" spans="1:21" s="142" customFormat="1" ht="16.5" customHeight="1">
      <c r="A1205" s="159" t="s">
        <v>264</v>
      </c>
      <c r="B1205" s="114" t="str">
        <f>VLOOKUP(A1205,'Data pick slip'!B:F,5,FALSE)</f>
        <v>KHJ-MC200-00</v>
      </c>
      <c r="C1205" s="156">
        <v>109352</v>
      </c>
      <c r="D1205" s="206"/>
      <c r="E1205" s="160" t="e">
        <f>VLOOKUP(C1205,Stock_list!D:L,9,FALSE)</f>
        <v>#N/A</v>
      </c>
      <c r="F1205" s="157" t="s">
        <v>378</v>
      </c>
      <c r="G1205" s="132"/>
      <c r="H1205" s="138">
        <v>149</v>
      </c>
      <c r="I1205" s="139" t="e">
        <f>VLOOKUP(H1205,Stock_list!A:R,18,FALSE)</f>
        <v>#N/A</v>
      </c>
      <c r="J1205" s="139" t="e">
        <f>VLOOKUP(H1205,Stock_list!A:S,17,FALSE)</f>
        <v>#N/A</v>
      </c>
      <c r="K1205" s="51" t="e">
        <f>VLOOKUP(H1205,Stock_list!A:T,16,FALSE)</f>
        <v>#N/A</v>
      </c>
      <c r="L1205" s="4" t="s">
        <v>542</v>
      </c>
      <c r="M1205" s="132">
        <v>18</v>
      </c>
      <c r="N1205" s="130"/>
      <c r="O1205" s="132"/>
      <c r="P1205" s="4" t="e">
        <f>VLOOKUP(H1205,Stock_list!A:Y,25,FALSE)</f>
        <v>#N/A</v>
      </c>
      <c r="R1205" s="143"/>
      <c r="S1205" s="123"/>
      <c r="T1205" s="144"/>
      <c r="U1205" s="145" t="e">
        <f>VLOOKUP(H1205,Stock_list!A:N,14,FALSE)</f>
        <v>#N/A</v>
      </c>
    </row>
    <row r="1206" spans="1:21" s="142" customFormat="1" ht="16.5" customHeight="1">
      <c r="A1206" s="155" t="s">
        <v>265</v>
      </c>
      <c r="B1206" s="114" t="str">
        <f>VLOOKUP(A1206,'Data pick slip'!B:F,5,FALSE)</f>
        <v>KHJ-MC400-00</v>
      </c>
      <c r="C1206" s="156">
        <v>109352</v>
      </c>
      <c r="D1206" s="206"/>
      <c r="E1206" s="160" t="e">
        <f>VLOOKUP(C1206,Stock_list!D:L,9,FALSE)</f>
        <v>#N/A</v>
      </c>
      <c r="F1206" s="157" t="s">
        <v>378</v>
      </c>
      <c r="G1206" s="132"/>
      <c r="H1206" s="138">
        <v>149</v>
      </c>
      <c r="I1206" s="139" t="e">
        <f>VLOOKUP(H1206,Stock_list!A:R,18,FALSE)</f>
        <v>#N/A</v>
      </c>
      <c r="J1206" s="139" t="e">
        <f>VLOOKUP(H1206,Stock_list!A:S,17,FALSE)</f>
        <v>#N/A</v>
      </c>
      <c r="K1206" s="51" t="e">
        <f>VLOOKUP(H1206,Stock_list!A:T,16,FALSE)</f>
        <v>#N/A</v>
      </c>
      <c r="L1206" s="4"/>
      <c r="M1206" s="132">
        <v>2</v>
      </c>
      <c r="N1206" s="130"/>
      <c r="O1206" s="132"/>
      <c r="P1206" s="4" t="e">
        <f>VLOOKUP(H1206,Stock_list!A:Y,25,FALSE)</f>
        <v>#N/A</v>
      </c>
      <c r="R1206" s="143"/>
      <c r="S1206" s="123"/>
      <c r="T1206" s="144"/>
      <c r="U1206" s="145" t="e">
        <f>VLOOKUP(H1206,Stock_list!A:N,14,FALSE)</f>
        <v>#N/A</v>
      </c>
    </row>
    <row r="1207" spans="1:21" s="142" customFormat="1" ht="16.5" customHeight="1">
      <c r="A1207" s="155" t="s">
        <v>285</v>
      </c>
      <c r="B1207" s="114" t="str">
        <f>VLOOKUP(A1207,'Data pick slip'!B:F,5,FALSE)</f>
        <v>KHJ-MC100-00</v>
      </c>
      <c r="C1207" s="156">
        <v>109247</v>
      </c>
      <c r="D1207" s="206"/>
      <c r="E1207" s="160" t="e">
        <f>VLOOKUP(C1207,Stock_list!D:L,9,FALSE)</f>
        <v>#N/A</v>
      </c>
      <c r="F1207" s="157" t="s">
        <v>379</v>
      </c>
      <c r="G1207" s="132"/>
      <c r="H1207" s="138">
        <v>150</v>
      </c>
      <c r="I1207" s="139" t="e">
        <f>VLOOKUP(H1207,Stock_list!A:R,18,FALSE)</f>
        <v>#N/A</v>
      </c>
      <c r="J1207" s="139" t="e">
        <f>VLOOKUP(H1207,Stock_list!A:S,17,FALSE)</f>
        <v>#N/A</v>
      </c>
      <c r="K1207" s="51" t="e">
        <f>VLOOKUP(H1207,Stock_list!A:T,16,FALSE)</f>
        <v>#N/A</v>
      </c>
      <c r="L1207" s="4">
        <v>43578</v>
      </c>
      <c r="M1207" s="132">
        <v>70</v>
      </c>
      <c r="N1207" s="130"/>
      <c r="O1207" s="132"/>
      <c r="P1207" s="4" t="e">
        <f>VLOOKUP(H1207,Stock_list!A:Y,25,FALSE)</f>
        <v>#N/A</v>
      </c>
      <c r="Q1207" s="133"/>
      <c r="R1207" s="143"/>
      <c r="S1207" s="123"/>
      <c r="T1207" s="144"/>
      <c r="U1207" s="145" t="e">
        <f>VLOOKUP(H1207,Stock_list!A:N,14,FALSE)</f>
        <v>#N/A</v>
      </c>
    </row>
    <row r="1208" spans="1:21" s="142" customFormat="1" ht="16.5" customHeight="1">
      <c r="A1208" s="159" t="s">
        <v>264</v>
      </c>
      <c r="B1208" s="114" t="str">
        <f>VLOOKUP(A1208,'Data pick slip'!B:F,5,FALSE)</f>
        <v>KHJ-MC200-00</v>
      </c>
      <c r="C1208" s="156">
        <v>109247</v>
      </c>
      <c r="D1208" s="206"/>
      <c r="E1208" s="160" t="e">
        <f>VLOOKUP(C1208,Stock_list!D:L,9,FALSE)</f>
        <v>#N/A</v>
      </c>
      <c r="F1208" s="157" t="s">
        <v>379</v>
      </c>
      <c r="G1208" s="132"/>
      <c r="H1208" s="138">
        <v>150</v>
      </c>
      <c r="I1208" s="139" t="e">
        <f>VLOOKUP(H1208,Stock_list!A:R,18,FALSE)</f>
        <v>#N/A</v>
      </c>
      <c r="J1208" s="139" t="e">
        <f>VLOOKUP(H1208,Stock_list!A:S,17,FALSE)</f>
        <v>#N/A</v>
      </c>
      <c r="K1208" s="51" t="e">
        <f>VLOOKUP(H1208,Stock_list!A:T,16,FALSE)</f>
        <v>#N/A</v>
      </c>
      <c r="L1208" s="4">
        <v>43578</v>
      </c>
      <c r="M1208" s="132">
        <v>4</v>
      </c>
      <c r="N1208" s="130"/>
      <c r="O1208" s="132"/>
      <c r="P1208" s="4" t="e">
        <f>VLOOKUP(H1208,Stock_list!A:Y,25,FALSE)</f>
        <v>#N/A</v>
      </c>
      <c r="Q1208" s="133"/>
      <c r="R1208" s="143"/>
      <c r="S1208" s="123"/>
      <c r="T1208" s="144"/>
      <c r="U1208" s="145" t="e">
        <f>VLOOKUP(H1208,Stock_list!A:N,14,FALSE)</f>
        <v>#N/A</v>
      </c>
    </row>
    <row r="1209" spans="1:21" s="142" customFormat="1" ht="16.5" customHeight="1">
      <c r="A1209" s="155" t="s">
        <v>265</v>
      </c>
      <c r="B1209" s="114" t="str">
        <f>VLOOKUP(A1209,'Data pick slip'!B:F,5,FALSE)</f>
        <v>KHJ-MC400-00</v>
      </c>
      <c r="C1209" s="156">
        <v>109319</v>
      </c>
      <c r="D1209" s="206"/>
      <c r="E1209" s="160" t="e">
        <f>VLOOKUP(C1209,Stock_list!D:L,9,FALSE)</f>
        <v>#N/A</v>
      </c>
      <c r="F1209" s="157" t="s">
        <v>379</v>
      </c>
      <c r="G1209" s="132"/>
      <c r="H1209" s="138">
        <v>150</v>
      </c>
      <c r="I1209" s="139" t="e">
        <f>VLOOKUP(H1209,Stock_list!A:R,18,FALSE)</f>
        <v>#N/A</v>
      </c>
      <c r="J1209" s="139" t="e">
        <f>VLOOKUP(H1209,Stock_list!A:S,17,FALSE)</f>
        <v>#N/A</v>
      </c>
      <c r="K1209" s="51" t="e">
        <f>VLOOKUP(H1209,Stock_list!A:T,16,FALSE)</f>
        <v>#N/A</v>
      </c>
      <c r="L1209" s="4">
        <v>43578</v>
      </c>
      <c r="M1209" s="132">
        <v>4</v>
      </c>
      <c r="N1209" s="130"/>
      <c r="O1209" s="132"/>
      <c r="P1209" s="4" t="e">
        <f>VLOOKUP(H1209,Stock_list!A:Y,25,FALSE)</f>
        <v>#N/A</v>
      </c>
      <c r="Q1209" s="133"/>
      <c r="R1209" s="143"/>
      <c r="S1209" s="123"/>
      <c r="T1209" s="144"/>
      <c r="U1209" s="145" t="e">
        <f>VLOOKUP(H1209,Stock_list!A:N,14,FALSE)</f>
        <v>#N/A</v>
      </c>
    </row>
    <row r="1210" spans="1:21" s="142" customFormat="1" ht="16.5" customHeight="1">
      <c r="A1210" s="155" t="s">
        <v>265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375</v>
      </c>
      <c r="G1210" s="132"/>
      <c r="H1210" s="138"/>
      <c r="I1210" s="139" t="s">
        <v>371</v>
      </c>
      <c r="J1210" s="139" t="s">
        <v>546</v>
      </c>
      <c r="K1210" s="51" t="s">
        <v>225</v>
      </c>
      <c r="L1210" s="4" t="s">
        <v>532</v>
      </c>
      <c r="M1210" s="140">
        <v>1</v>
      </c>
      <c r="N1210" s="132"/>
      <c r="O1210" s="132"/>
      <c r="P1210" s="4" t="s">
        <v>214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285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290</v>
      </c>
      <c r="G1211" s="132"/>
      <c r="H1211" s="138">
        <v>7</v>
      </c>
      <c r="I1211" s="139" t="e">
        <f>VLOOKUP(H1211,Stock_list!A:R,18,FALSE)</f>
        <v>#N/A</v>
      </c>
      <c r="J1211" s="139" t="e">
        <f>VLOOKUP(H1211,Stock_list!A:S,17,FALSE)</f>
        <v>#N/A</v>
      </c>
      <c r="K1211" s="51" t="e">
        <f>VLOOKUP(H1211,Stock_list!A:T,16,FALSE)</f>
        <v>#N/A</v>
      </c>
      <c r="L1211" s="4"/>
      <c r="M1211" s="140"/>
      <c r="N1211" s="132"/>
      <c r="O1211" s="132">
        <f>25-25</f>
        <v>0</v>
      </c>
      <c r="P1211" s="4" t="e">
        <f>VLOOKUP(H1211,Stock_list!A:Y,25,FALSE)</f>
        <v>#N/A</v>
      </c>
      <c r="Q1211" s="143"/>
      <c r="R1211" s="143"/>
      <c r="S1211" s="123"/>
      <c r="T1211" s="144"/>
      <c r="U1211" s="145" t="e">
        <f>VLOOKUP(H1211,Stock_list!A:N,14,FALSE)</f>
        <v>#N/A</v>
      </c>
    </row>
    <row r="1212" spans="1:21" s="142" customFormat="1" ht="16.5" customHeight="1">
      <c r="A1212" s="159" t="s">
        <v>264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290</v>
      </c>
      <c r="G1212" s="132"/>
      <c r="H1212" s="138">
        <v>7</v>
      </c>
      <c r="I1212" s="139" t="e">
        <f>VLOOKUP(H1212,Stock_list!A:R,18,FALSE)</f>
        <v>#N/A</v>
      </c>
      <c r="J1212" s="139" t="e">
        <f>VLOOKUP(H1212,Stock_list!A:S,17,FALSE)</f>
        <v>#N/A</v>
      </c>
      <c r="K1212" s="51" t="e">
        <f>VLOOKUP(H1212,Stock_list!A:T,16,FALSE)</f>
        <v>#N/A</v>
      </c>
      <c r="L1212" s="291" t="s">
        <v>526</v>
      </c>
      <c r="M1212" s="140"/>
      <c r="N1212" s="132"/>
      <c r="O1212" s="132">
        <f>3-3</f>
        <v>0</v>
      </c>
      <c r="P1212" s="4" t="e">
        <f>VLOOKUP(H1212,Stock_list!A:Y,25,FALSE)</f>
        <v>#N/A</v>
      </c>
      <c r="Q1212" s="143"/>
      <c r="R1212" s="143"/>
      <c r="S1212" s="123"/>
      <c r="T1212" s="144"/>
      <c r="U1212" s="145" t="e">
        <f>VLOOKUP(H1212,Stock_list!A:N,14,FALSE)</f>
        <v>#N/A</v>
      </c>
    </row>
    <row r="1213" spans="1:21" s="142" customFormat="1" ht="16.5" customHeight="1">
      <c r="A1213" s="155" t="s">
        <v>285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290</v>
      </c>
      <c r="G1213" s="132"/>
      <c r="H1213" s="138">
        <v>50</v>
      </c>
      <c r="I1213" s="139" t="e">
        <f>VLOOKUP(H1213,Stock_list!A:R,18,FALSE)</f>
        <v>#N/A</v>
      </c>
      <c r="J1213" s="139" t="e">
        <f>VLOOKUP(H1213,Stock_list!A:S,17,FALSE)</f>
        <v>#N/A</v>
      </c>
      <c r="K1213" s="51" t="e">
        <f>VLOOKUP(H1213,Stock_list!A:T,16,FALSE)</f>
        <v>#N/A</v>
      </c>
      <c r="L1213" s="4"/>
      <c r="M1213" s="140"/>
      <c r="N1213" s="132"/>
      <c r="O1213" s="132">
        <f>80-80</f>
        <v>0</v>
      </c>
      <c r="P1213" s="4" t="e">
        <f>VLOOKUP(H1213,Stock_list!A:Y,25,FALSE)</f>
        <v>#N/A</v>
      </c>
      <c r="Q1213" s="143"/>
      <c r="R1213" s="134"/>
      <c r="S1213" s="123"/>
      <c r="T1213" s="144"/>
      <c r="U1213" s="145" t="e">
        <f>VLOOKUP(H1213,Stock_list!A:N,14,FALSE)</f>
        <v>#N/A</v>
      </c>
    </row>
    <row r="1214" spans="1:21" s="142" customFormat="1" ht="16.5" customHeight="1">
      <c r="A1214" s="159" t="s">
        <v>264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379</v>
      </c>
      <c r="G1214" s="132"/>
      <c r="H1214" s="138">
        <v>50</v>
      </c>
      <c r="I1214" s="139" t="e">
        <f>VLOOKUP(H1214,Stock_list!A:R,18,FALSE)</f>
        <v>#N/A</v>
      </c>
      <c r="J1214" s="139" t="e">
        <f>VLOOKUP(H1214,Stock_list!A:S,17,FALSE)</f>
        <v>#N/A</v>
      </c>
      <c r="K1214" s="51" t="e">
        <f>VLOOKUP(H1214,Stock_list!A:T,16,FALSE)</f>
        <v>#N/A</v>
      </c>
      <c r="L1214" s="4"/>
      <c r="M1214" s="140"/>
      <c r="N1214" s="132"/>
      <c r="O1214" s="132">
        <f>15-15</f>
        <v>0</v>
      </c>
      <c r="P1214" s="4" t="e">
        <f>VLOOKUP(H1214,Stock_list!A:Y,25,FALSE)</f>
        <v>#N/A</v>
      </c>
      <c r="Q1214" s="143"/>
      <c r="R1214" s="134"/>
      <c r="S1214" s="123"/>
      <c r="T1214" s="144"/>
      <c r="U1214" s="145" t="e">
        <f>VLOOKUP(H1214,Stock_list!A:N,14,FALSE)</f>
        <v>#N/A</v>
      </c>
    </row>
    <row r="1215" spans="1:21" s="142" customFormat="1" ht="16.5" customHeight="1">
      <c r="A1215" s="159" t="s">
        <v>274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379</v>
      </c>
      <c r="G1215" s="132"/>
      <c r="H1215" s="138">
        <v>50</v>
      </c>
      <c r="I1215" s="139" t="e">
        <f>VLOOKUP(H1215,Stock_list!A:R,18,FALSE)</f>
        <v>#N/A</v>
      </c>
      <c r="J1215" s="139" t="e">
        <f>VLOOKUP(H1215,Stock_list!A:S,17,FALSE)</f>
        <v>#N/A</v>
      </c>
      <c r="K1215" s="51" t="e">
        <f>VLOOKUP(H1215,Stock_list!A:T,16,FALSE)</f>
        <v>#N/A</v>
      </c>
      <c r="L1215" s="4"/>
      <c r="M1215" s="140"/>
      <c r="N1215" s="132"/>
      <c r="O1215" s="132">
        <f>4-4</f>
        <v>0</v>
      </c>
      <c r="P1215" s="4" t="e">
        <f>VLOOKUP(H1215,Stock_list!A:Y,25,FALSE)</f>
        <v>#N/A</v>
      </c>
      <c r="Q1215" s="143"/>
      <c r="R1215" s="134"/>
      <c r="S1215" s="123"/>
      <c r="T1215" s="144"/>
      <c r="U1215" s="145" t="e">
        <f>VLOOKUP(H1215,Stock_list!A:N,14,FALSE)</f>
        <v>#N/A</v>
      </c>
    </row>
    <row r="1216" spans="1:21" s="142" customFormat="1" ht="16.5" customHeight="1">
      <c r="A1216" s="159" t="s">
        <v>266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379</v>
      </c>
      <c r="G1216" s="132"/>
      <c r="H1216" s="138">
        <v>50</v>
      </c>
      <c r="I1216" s="139" t="e">
        <f>VLOOKUP(H1216,Stock_list!A:R,18,FALSE)</f>
        <v>#N/A</v>
      </c>
      <c r="J1216" s="139" t="e">
        <f>VLOOKUP(H1216,Stock_list!A:S,17,FALSE)</f>
        <v>#N/A</v>
      </c>
      <c r="K1216" s="51" t="e">
        <f>VLOOKUP(H1216,Stock_list!A:T,16,FALSE)</f>
        <v>#N/A</v>
      </c>
      <c r="L1216" s="4"/>
      <c r="M1216" s="140"/>
      <c r="N1216" s="132"/>
      <c r="O1216" s="132">
        <f>1-1</f>
        <v>0</v>
      </c>
      <c r="P1216" s="4" t="e">
        <f>VLOOKUP(H1216,Stock_list!A:Y,25,FALSE)</f>
        <v>#N/A</v>
      </c>
      <c r="Q1216" s="143"/>
      <c r="R1216" s="134"/>
      <c r="S1216" s="123"/>
      <c r="T1216" s="144"/>
      <c r="U1216" s="145" t="e">
        <f>VLOOKUP(H1216,Stock_list!A:N,14,FALSE)</f>
        <v>#N/A</v>
      </c>
    </row>
    <row r="1217" spans="1:21" s="142" customFormat="1" ht="16.5" customHeight="1">
      <c r="A1217" s="159" t="s">
        <v>265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290</v>
      </c>
      <c r="G1217" s="132"/>
      <c r="H1217" s="138"/>
      <c r="I1217" s="139" t="s">
        <v>371</v>
      </c>
      <c r="J1217" s="139" t="s">
        <v>547</v>
      </c>
      <c r="K1217" s="51" t="s">
        <v>225</v>
      </c>
      <c r="L1217" s="4" t="s">
        <v>532</v>
      </c>
      <c r="M1217" s="140">
        <v>1</v>
      </c>
      <c r="N1217" s="132"/>
      <c r="O1217" s="132"/>
      <c r="P1217" s="4" t="s">
        <v>214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265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290</v>
      </c>
      <c r="G1218" s="132"/>
      <c r="H1218" s="138"/>
      <c r="I1218" s="139" t="s">
        <v>371</v>
      </c>
      <c r="J1218" s="139" t="s">
        <v>548</v>
      </c>
      <c r="K1218" s="51" t="s">
        <v>225</v>
      </c>
      <c r="L1218" s="4" t="s">
        <v>532</v>
      </c>
      <c r="M1218" s="140">
        <v>1</v>
      </c>
      <c r="N1218" s="132"/>
      <c r="O1218" s="132"/>
      <c r="P1218" s="4" t="s">
        <v>214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272</v>
      </c>
      <c r="B1219" s="114" t="str">
        <f>VLOOKUP(A1219,'Data pick slip'!B:F,5,FALSE)</f>
        <v>KLJ-MC100-00</v>
      </c>
      <c r="C1219" s="156">
        <v>109218</v>
      </c>
      <c r="E1219" s="160" t="e">
        <f>VLOOKUP(C1219,Stock_list!D:L,9,FALSE)</f>
        <v>#N/A</v>
      </c>
      <c r="F1219" s="157" t="s">
        <v>290</v>
      </c>
      <c r="H1219" s="138">
        <v>152</v>
      </c>
      <c r="I1219" s="139" t="e">
        <f>VLOOKUP(H1219,Stock_list!A:R,18,FALSE)</f>
        <v>#N/A</v>
      </c>
      <c r="J1219" s="139" t="e">
        <f>VLOOKUP(H1219,Stock_list!A:S,17,FALSE)</f>
        <v>#N/A</v>
      </c>
      <c r="K1219" s="51" t="e">
        <f>VLOOKUP(H1219,Stock_list!A:T,16,FALSE)</f>
        <v>#N/A</v>
      </c>
      <c r="L1219" s="4"/>
      <c r="M1219" s="140">
        <v>40</v>
      </c>
      <c r="P1219" s="4" t="e">
        <f>VLOOKUP(H1219,Stock_list!A:Y,25,FALSE)</f>
        <v>#N/A</v>
      </c>
      <c r="Q1219" s="143"/>
      <c r="T1219" s="144"/>
      <c r="U1219" s="145" t="e">
        <f>VLOOKUP(H1219,Stock_list!A:N,14,FALSE)</f>
        <v>#N/A</v>
      </c>
    </row>
    <row r="1220" spans="1:21" ht="16.5" customHeight="1">
      <c r="A1220" s="159" t="s">
        <v>272</v>
      </c>
      <c r="B1220" s="114" t="str">
        <f>VLOOKUP(A1220,'Data pick slip'!B:F,5,FALSE)</f>
        <v>KLJ-MC100-00</v>
      </c>
      <c r="C1220" s="156">
        <v>109421</v>
      </c>
      <c r="E1220" s="160" t="e">
        <f>VLOOKUP(C1220,Stock_list!D:L,9,FALSE)</f>
        <v>#N/A</v>
      </c>
      <c r="F1220" s="157" t="s">
        <v>379</v>
      </c>
      <c r="H1220" s="138">
        <v>154</v>
      </c>
      <c r="I1220" s="139" t="e">
        <f>VLOOKUP(H1220,Stock_list!A:R,18,FALSE)</f>
        <v>#N/A</v>
      </c>
      <c r="J1220" s="139" t="e">
        <f>VLOOKUP(H1220,Stock_list!A:S,17,FALSE)</f>
        <v>#N/A</v>
      </c>
      <c r="K1220" s="51" t="e">
        <f>VLOOKUP(H1220,Stock_list!A:T,16,FALSE)</f>
        <v>#N/A</v>
      </c>
      <c r="L1220" s="4"/>
      <c r="M1220" s="132">
        <v>60</v>
      </c>
      <c r="P1220" s="4" t="e">
        <f>VLOOKUP(H1220,Stock_list!A:Y,25,FALSE)</f>
        <v>#N/A</v>
      </c>
      <c r="Q1220" s="143"/>
      <c r="T1220" s="144"/>
      <c r="U1220" s="145" t="e">
        <f>VLOOKUP(H1220,Stock_list!A:N,14,FALSE)</f>
        <v>#N/A</v>
      </c>
    </row>
    <row r="1221" spans="1:21" ht="16.5" customHeight="1">
      <c r="A1221" s="159" t="s">
        <v>261</v>
      </c>
      <c r="B1221" s="114" t="str">
        <f>VLOOKUP(A1221,'Data pick slip'!B:F,5,FALSE)</f>
        <v>KHJ-MC100-00</v>
      </c>
      <c r="C1221" s="156">
        <v>109493</v>
      </c>
      <c r="E1221" s="160" t="e">
        <f>VLOOKUP(C1221,Stock_list!D:L,9,FALSE)</f>
        <v>#N/A</v>
      </c>
      <c r="F1221" s="157" t="s">
        <v>379</v>
      </c>
      <c r="H1221" s="138">
        <v>155</v>
      </c>
      <c r="I1221" s="139" t="e">
        <f>VLOOKUP(H1221,Stock_list!A:R,18,FALSE)</f>
        <v>#N/A</v>
      </c>
      <c r="J1221" s="139" t="e">
        <f>VLOOKUP(H1221,Stock_list!A:S,17,FALSE)</f>
        <v>#N/A</v>
      </c>
      <c r="K1221" s="51" t="e">
        <f>VLOOKUP(H1221,Stock_list!A:T,16,FALSE)</f>
        <v>#N/A</v>
      </c>
      <c r="L1221" s="4">
        <v>43557</v>
      </c>
      <c r="M1221" s="132">
        <v>670</v>
      </c>
      <c r="P1221" s="4" t="e">
        <f>VLOOKUP(H1221,Stock_list!A:Y,25,FALSE)</f>
        <v>#N/A</v>
      </c>
      <c r="Q1221" s="143"/>
      <c r="T1221" s="144"/>
      <c r="U1221" s="145" t="e">
        <f>VLOOKUP(H1221,Stock_list!A:N,14,FALSE)</f>
        <v>#N/A</v>
      </c>
    </row>
    <row r="1222" spans="1:21" ht="16.5" customHeight="1">
      <c r="A1222" s="159" t="s">
        <v>272</v>
      </c>
      <c r="B1222" s="114" t="str">
        <f>VLOOKUP(A1222,'Data pick slip'!B:F,5,FALSE)</f>
        <v>KLJ-MC100-00</v>
      </c>
      <c r="F1222" s="157" t="s">
        <v>290</v>
      </c>
      <c r="H1222" s="138">
        <v>155</v>
      </c>
      <c r="I1222" s="139" t="e">
        <f>VLOOKUP(H1222,Stock_list!A:R,18,FALSE)</f>
        <v>#N/A</v>
      </c>
      <c r="J1222" s="139" t="e">
        <f>VLOOKUP(H1222,Stock_list!A:S,17,FALSE)</f>
        <v>#N/A</v>
      </c>
      <c r="K1222" s="51" t="e">
        <f>VLOOKUP(H1222,Stock_list!A:T,16,FALSE)</f>
        <v>#N/A</v>
      </c>
      <c r="L1222" s="4">
        <v>43557</v>
      </c>
      <c r="M1222" s="132">
        <v>10</v>
      </c>
      <c r="P1222" s="4" t="e">
        <f>VLOOKUP(H1222,Stock_list!A:Y,25,FALSE)</f>
        <v>#N/A</v>
      </c>
      <c r="Q1222" s="143"/>
      <c r="S1222" s="123" t="s">
        <v>521</v>
      </c>
      <c r="T1222" s="205" t="s">
        <v>549</v>
      </c>
      <c r="U1222" s="145" t="e">
        <f>VLOOKUP(H1222,Stock_list!A:N,14,FALSE)</f>
        <v>#N/A</v>
      </c>
    </row>
    <row r="1223" spans="1:21" ht="16.5" customHeight="1">
      <c r="A1223" s="159" t="s">
        <v>272</v>
      </c>
      <c r="B1223" s="114" t="str">
        <f>VLOOKUP(A1223,'Data pick slip'!B:F,5,FALSE)</f>
        <v>KLJ-MC100-00</v>
      </c>
      <c r="F1223" s="157" t="s">
        <v>290</v>
      </c>
      <c r="H1223" s="138">
        <v>155</v>
      </c>
      <c r="I1223" s="139" t="e">
        <f>VLOOKUP(H1223,Stock_list!A:R,18,FALSE)</f>
        <v>#N/A</v>
      </c>
      <c r="J1223" s="139" t="e">
        <f>VLOOKUP(H1223,Stock_list!A:S,17,FALSE)</f>
        <v>#N/A</v>
      </c>
      <c r="K1223" s="51" t="e">
        <f>VLOOKUP(H1223,Stock_list!A:T,16,FALSE)</f>
        <v>#N/A</v>
      </c>
      <c r="L1223" s="4">
        <v>43557</v>
      </c>
      <c r="M1223" s="132">
        <v>10</v>
      </c>
      <c r="P1223" s="4" t="e">
        <f>VLOOKUP(H1223,Stock_list!A:Y,25,FALSE)</f>
        <v>#N/A</v>
      </c>
      <c r="Q1223" s="143"/>
      <c r="S1223" s="123" t="s">
        <v>521</v>
      </c>
      <c r="T1223" s="205" t="s">
        <v>550</v>
      </c>
      <c r="U1223" s="145" t="e">
        <f>VLOOKUP(H1223,Stock_list!A:N,14,FALSE)</f>
        <v>#N/A</v>
      </c>
    </row>
    <row r="1224" spans="1:21" ht="16.5" customHeight="1">
      <c r="A1224" s="159" t="s">
        <v>272</v>
      </c>
      <c r="B1224" s="114" t="str">
        <f>VLOOKUP(A1224,'Data pick slip'!B:F,5,FALSE)</f>
        <v>KLJ-MC100-00</v>
      </c>
      <c r="F1224" s="157" t="s">
        <v>290</v>
      </c>
      <c r="H1224" s="138">
        <v>155</v>
      </c>
      <c r="I1224" s="139" t="e">
        <f>VLOOKUP(H1224,Stock_list!A:R,18,FALSE)</f>
        <v>#N/A</v>
      </c>
      <c r="J1224" s="139" t="e">
        <f>VLOOKUP(H1224,Stock_list!A:S,17,FALSE)</f>
        <v>#N/A</v>
      </c>
      <c r="K1224" s="51" t="e">
        <f>VLOOKUP(H1224,Stock_list!A:T,16,FALSE)</f>
        <v>#N/A</v>
      </c>
      <c r="L1224" s="4">
        <v>43557</v>
      </c>
      <c r="M1224" s="132">
        <v>10</v>
      </c>
      <c r="P1224" s="4" t="e">
        <f>VLOOKUP(H1224,Stock_list!A:Y,25,FALSE)</f>
        <v>#N/A</v>
      </c>
      <c r="Q1224" s="143"/>
      <c r="S1224" s="123" t="s">
        <v>521</v>
      </c>
      <c r="T1224" s="205" t="s">
        <v>551</v>
      </c>
      <c r="U1224" s="145" t="e">
        <f>VLOOKUP(H1224,Stock_list!A:N,14,FALSE)</f>
        <v>#N/A</v>
      </c>
    </row>
    <row r="1225" spans="1:21" ht="16.5" customHeight="1">
      <c r="A1225" s="159" t="s">
        <v>272</v>
      </c>
      <c r="B1225" s="114" t="str">
        <f>VLOOKUP(A1225,'Data pick slip'!B:F,5,FALSE)</f>
        <v>KLJ-MC100-00</v>
      </c>
      <c r="F1225" s="157" t="s">
        <v>290</v>
      </c>
      <c r="H1225" s="138">
        <v>155</v>
      </c>
      <c r="I1225" s="139" t="e">
        <f>VLOOKUP(H1225,Stock_list!A:R,18,FALSE)</f>
        <v>#N/A</v>
      </c>
      <c r="J1225" s="139" t="e">
        <f>VLOOKUP(H1225,Stock_list!A:S,17,FALSE)</f>
        <v>#N/A</v>
      </c>
      <c r="K1225" s="51" t="e">
        <f>VLOOKUP(H1225,Stock_list!A:T,16,FALSE)</f>
        <v>#N/A</v>
      </c>
      <c r="L1225" s="4">
        <v>43557</v>
      </c>
      <c r="M1225" s="132">
        <v>10</v>
      </c>
      <c r="P1225" s="4" t="e">
        <f>VLOOKUP(H1225,Stock_list!A:Y,25,FALSE)</f>
        <v>#N/A</v>
      </c>
      <c r="Q1225" s="143"/>
      <c r="S1225" s="123" t="s">
        <v>521</v>
      </c>
      <c r="T1225" s="205" t="s">
        <v>552</v>
      </c>
      <c r="U1225" s="145" t="e">
        <f>VLOOKUP(H1225,Stock_list!A:N,14,FALSE)</f>
        <v>#N/A</v>
      </c>
    </row>
    <row r="1226" spans="1:21" ht="16.5" customHeight="1">
      <c r="A1226" s="159" t="s">
        <v>272</v>
      </c>
      <c r="B1226" s="114" t="str">
        <f>VLOOKUP(A1226,'Data pick slip'!B:F,5,FALSE)</f>
        <v>KLJ-MC100-00</v>
      </c>
      <c r="F1226" s="157" t="s">
        <v>290</v>
      </c>
      <c r="H1226" s="138">
        <v>155</v>
      </c>
      <c r="I1226" s="139" t="e">
        <f>VLOOKUP(H1226,Stock_list!A:R,18,FALSE)</f>
        <v>#N/A</v>
      </c>
      <c r="J1226" s="139" t="e">
        <f>VLOOKUP(H1226,Stock_list!A:S,17,FALSE)</f>
        <v>#N/A</v>
      </c>
      <c r="K1226" s="51" t="e">
        <f>VLOOKUP(H1226,Stock_list!A:T,16,FALSE)</f>
        <v>#N/A</v>
      </c>
      <c r="L1226" s="4">
        <v>43557</v>
      </c>
      <c r="M1226" s="132">
        <v>10</v>
      </c>
      <c r="P1226" s="4" t="e">
        <f>VLOOKUP(H1226,Stock_list!A:Y,25,FALSE)</f>
        <v>#N/A</v>
      </c>
      <c r="Q1226" s="143"/>
      <c r="S1226" s="123" t="s">
        <v>521</v>
      </c>
      <c r="T1226" s="205" t="s">
        <v>553</v>
      </c>
      <c r="U1226" s="145" t="e">
        <f>VLOOKUP(H1226,Stock_list!A:N,14,FALSE)</f>
        <v>#N/A</v>
      </c>
    </row>
    <row r="1227" spans="1:21" ht="16.5" customHeight="1">
      <c r="A1227" s="159" t="s">
        <v>264</v>
      </c>
      <c r="B1227" s="114" t="str">
        <f>VLOOKUP(A1227,'Data pick slip'!B:F,5,FALSE)</f>
        <v>KHJ-MC200-00</v>
      </c>
      <c r="C1227" s="156">
        <v>109493</v>
      </c>
      <c r="E1227" s="160" t="e">
        <f>VLOOKUP(C1227,Stock_list!D:L,9,FALSE)</f>
        <v>#N/A</v>
      </c>
      <c r="F1227" s="157" t="s">
        <v>379</v>
      </c>
      <c r="H1227" s="138">
        <v>155</v>
      </c>
      <c r="I1227" s="139" t="e">
        <f>VLOOKUP(H1227,Stock_list!A:R,18,FALSE)</f>
        <v>#N/A</v>
      </c>
      <c r="J1227" s="139" t="e">
        <f>VLOOKUP(H1227,Stock_list!A:S,17,FALSE)</f>
        <v>#N/A</v>
      </c>
      <c r="K1227" s="51" t="e">
        <f>VLOOKUP(H1227,Stock_list!A:T,16,FALSE)</f>
        <v>#N/A</v>
      </c>
      <c r="L1227" s="4">
        <v>43557</v>
      </c>
      <c r="M1227" s="132">
        <v>95</v>
      </c>
      <c r="P1227" s="4" t="e">
        <f>VLOOKUP(H1227,Stock_list!A:Y,25,FALSE)</f>
        <v>#N/A</v>
      </c>
      <c r="Q1227" s="143"/>
      <c r="T1227" s="144"/>
      <c r="U1227" s="145" t="e">
        <f>VLOOKUP(H1227,Stock_list!A:N,14,FALSE)</f>
        <v>#N/A</v>
      </c>
    </row>
    <row r="1228" spans="1:21" ht="16.5" customHeight="1">
      <c r="A1228" s="159" t="s">
        <v>273</v>
      </c>
      <c r="B1228" s="114" t="str">
        <f>VLOOKUP(A1228,'Data pick slip'!B:F,5,FALSE)</f>
        <v>KLJ-MC200-00</v>
      </c>
      <c r="F1228" s="157" t="s">
        <v>379</v>
      </c>
      <c r="H1228" s="138">
        <v>155</v>
      </c>
      <c r="I1228" s="139" t="e">
        <f>VLOOKUP(H1228,Stock_list!A:R,18,FALSE)</f>
        <v>#N/A</v>
      </c>
      <c r="J1228" s="139" t="e">
        <f>VLOOKUP(H1228,Stock_list!A:S,17,FALSE)</f>
        <v>#N/A</v>
      </c>
      <c r="K1228" s="51" t="e">
        <f>VLOOKUP(H1228,Stock_list!A:T,16,FALSE)</f>
        <v>#N/A</v>
      </c>
      <c r="L1228" s="4">
        <v>43557</v>
      </c>
      <c r="M1228" s="132">
        <v>20</v>
      </c>
      <c r="P1228" s="4" t="e">
        <f>VLOOKUP(H1228,Stock_list!A:Y,25,FALSE)</f>
        <v>#N/A</v>
      </c>
      <c r="T1228" s="144"/>
      <c r="U1228" s="145" t="e">
        <f>VLOOKUP(H1228,Stock_list!A:N,14,FALSE)</f>
        <v>#N/A</v>
      </c>
    </row>
    <row r="1229" spans="1:21" ht="16.5" customHeight="1">
      <c r="A1229" s="159" t="s">
        <v>326</v>
      </c>
      <c r="B1229" s="114" t="str">
        <f>VLOOKUP(A1229,'Data pick slip'!B:F,5,FALSE)</f>
        <v>KHJ-MC200-00</v>
      </c>
      <c r="C1229" s="156">
        <v>109493</v>
      </c>
      <c r="E1229" s="160" t="e">
        <f>VLOOKUP(C1229,Stock_list!D:L,9,FALSE)</f>
        <v>#N/A</v>
      </c>
      <c r="F1229" s="157" t="s">
        <v>290</v>
      </c>
      <c r="H1229" s="138">
        <v>155</v>
      </c>
      <c r="I1229" s="139" t="e">
        <f>VLOOKUP(H1229,Stock_list!A:R,18,FALSE)</f>
        <v>#N/A</v>
      </c>
      <c r="J1229" s="139" t="e">
        <f>VLOOKUP(H1229,Stock_list!A:S,17,FALSE)</f>
        <v>#N/A</v>
      </c>
      <c r="K1229" s="51" t="e">
        <f>VLOOKUP(H1229,Stock_list!A:T,16,FALSE)</f>
        <v>#N/A</v>
      </c>
      <c r="L1229" s="4">
        <v>43532</v>
      </c>
      <c r="M1229" s="132">
        <v>5</v>
      </c>
      <c r="P1229" s="4" t="e">
        <f>VLOOKUP(H1229,Stock_list!A:Y,25,FALSE)</f>
        <v>#N/A</v>
      </c>
      <c r="Q1229" s="143"/>
      <c r="S1229" s="123" t="s">
        <v>521</v>
      </c>
      <c r="T1229" s="205" t="s">
        <v>553</v>
      </c>
      <c r="U1229" s="145" t="e">
        <f>VLOOKUP(H1229,Stock_list!A:N,14,FALSE)</f>
        <v>#N/A</v>
      </c>
    </row>
    <row r="1230" spans="1:21" ht="16.5" customHeight="1">
      <c r="A1230" s="159" t="s">
        <v>265</v>
      </c>
      <c r="B1230" s="114" t="str">
        <f>VLOOKUP(A1230,'Data pick slip'!B:F,5,FALSE)</f>
        <v>KHJ-MC400-00</v>
      </c>
      <c r="C1230" s="156">
        <v>109493</v>
      </c>
      <c r="E1230" s="160" t="e">
        <f>VLOOKUP(C1230,Stock_list!D:L,9,FALSE)</f>
        <v>#N/A</v>
      </c>
      <c r="F1230" s="157" t="s">
        <v>379</v>
      </c>
      <c r="H1230" s="138">
        <v>155</v>
      </c>
      <c r="I1230" s="139" t="e">
        <f>VLOOKUP(H1230,Stock_list!A:R,18,FALSE)</f>
        <v>#N/A</v>
      </c>
      <c r="J1230" s="139" t="e">
        <f>VLOOKUP(H1230,Stock_list!A:S,17,FALSE)</f>
        <v>#N/A</v>
      </c>
      <c r="K1230" s="51" t="e">
        <f>VLOOKUP(H1230,Stock_list!A:T,16,FALSE)</f>
        <v>#N/A</v>
      </c>
      <c r="L1230" s="4">
        <v>43557</v>
      </c>
      <c r="M1230" s="132">
        <v>36</v>
      </c>
      <c r="P1230" s="4" t="e">
        <f>VLOOKUP(H1230,Stock_list!A:Y,25,FALSE)</f>
        <v>#N/A</v>
      </c>
      <c r="Q1230" s="143"/>
      <c r="T1230" s="144"/>
      <c r="U1230" s="145" t="e">
        <f>VLOOKUP(H1230,Stock_list!A:N,14,FALSE)</f>
        <v>#N/A</v>
      </c>
    </row>
    <row r="1231" spans="1:21" ht="16.5" customHeight="1">
      <c r="A1231" s="159" t="s">
        <v>266</v>
      </c>
      <c r="B1231" s="114" t="str">
        <f>VLOOKUP(A1231,'Data pick slip'!B:F,5,FALSE)</f>
        <v>KHJ-MC500-00</v>
      </c>
      <c r="C1231" s="156">
        <v>109493</v>
      </c>
      <c r="E1231" s="160" t="e">
        <f>VLOOKUP(C1231,Stock_list!D:L,9,FALSE)</f>
        <v>#N/A</v>
      </c>
      <c r="F1231" s="157" t="s">
        <v>379</v>
      </c>
      <c r="H1231" s="138">
        <v>155</v>
      </c>
      <c r="I1231" s="139" t="e">
        <f>VLOOKUP(H1231,Stock_list!A:R,18,FALSE)</f>
        <v>#N/A</v>
      </c>
      <c r="J1231" s="139" t="e">
        <f>VLOOKUP(H1231,Stock_list!A:S,17,FALSE)</f>
        <v>#N/A</v>
      </c>
      <c r="K1231" s="51" t="e">
        <f>VLOOKUP(H1231,Stock_list!A:T,16,FALSE)</f>
        <v>#N/A</v>
      </c>
      <c r="L1231" s="4">
        <v>43557</v>
      </c>
      <c r="M1231" s="132">
        <v>12</v>
      </c>
      <c r="P1231" s="4" t="e">
        <f>VLOOKUP(H1231,Stock_list!A:Y,25,FALSE)</f>
        <v>#N/A</v>
      </c>
      <c r="Q1231" s="143"/>
      <c r="T1231" s="144"/>
      <c r="U1231" s="145" t="e">
        <f>VLOOKUP(H1231,Stock_list!A:N,14,FALSE)</f>
        <v>#N/A</v>
      </c>
    </row>
    <row r="1232" spans="1:21" ht="16.5" customHeight="1">
      <c r="A1232" s="159" t="s">
        <v>267</v>
      </c>
      <c r="B1232" s="114" t="str">
        <f>VLOOKUP(A1232,'Data pick slip'!B:F,5,FALSE)</f>
        <v>KHJ-MC600-00</v>
      </c>
      <c r="C1232" s="156">
        <v>109430</v>
      </c>
      <c r="E1232" s="160" t="e">
        <f>VLOOKUP(C1232,Stock_list!D:L,9,FALSE)</f>
        <v>#N/A</v>
      </c>
      <c r="F1232" s="157" t="s">
        <v>379</v>
      </c>
      <c r="H1232" s="138">
        <v>155</v>
      </c>
      <c r="I1232" s="139" t="e">
        <f>VLOOKUP(H1232,Stock_list!A:R,18,FALSE)</f>
        <v>#N/A</v>
      </c>
      <c r="J1232" s="139" t="e">
        <f>VLOOKUP(H1232,Stock_list!A:S,17,FALSE)</f>
        <v>#N/A</v>
      </c>
      <c r="K1232" s="51" t="e">
        <f>VLOOKUP(H1232,Stock_list!A:T,16,FALSE)</f>
        <v>#N/A</v>
      </c>
      <c r="L1232" s="4">
        <v>43557</v>
      </c>
      <c r="M1232" s="132">
        <v>6</v>
      </c>
      <c r="P1232" s="4" t="e">
        <f>VLOOKUP(H1232,Stock_list!A:Y,25,FALSE)</f>
        <v>#N/A</v>
      </c>
      <c r="Q1232" s="143"/>
      <c r="T1232" s="144"/>
      <c r="U1232" s="145" t="e">
        <f>VLOOKUP(H1232,Stock_list!A:N,14,FALSE)</f>
        <v>#N/A</v>
      </c>
    </row>
    <row r="1233" spans="1:21" ht="16.5" customHeight="1">
      <c r="A1233" s="159" t="s">
        <v>268</v>
      </c>
      <c r="B1233" s="114" t="str">
        <f>VLOOKUP(A1233,'Data pick slip'!B:F,5,FALSE)</f>
        <v>KHJ-MC700-00</v>
      </c>
      <c r="C1233" s="156">
        <v>109493</v>
      </c>
      <c r="E1233" s="160" t="e">
        <f>VLOOKUP(C1233,Stock_list!D:L,9,FALSE)</f>
        <v>#N/A</v>
      </c>
      <c r="F1233" s="157" t="s">
        <v>379</v>
      </c>
      <c r="H1233" s="138">
        <v>155</v>
      </c>
      <c r="I1233" s="139" t="e">
        <f>VLOOKUP(H1233,Stock_list!A:R,18,FALSE)</f>
        <v>#N/A</v>
      </c>
      <c r="J1233" s="139" t="e">
        <f>VLOOKUP(H1233,Stock_list!A:S,17,FALSE)</f>
        <v>#N/A</v>
      </c>
      <c r="K1233" s="51" t="e">
        <f>VLOOKUP(H1233,Stock_list!A:T,16,FALSE)</f>
        <v>#N/A</v>
      </c>
      <c r="L1233" s="4">
        <v>43557</v>
      </c>
      <c r="M1233" s="132">
        <v>6</v>
      </c>
      <c r="P1233" s="4" t="e">
        <f>VLOOKUP(H1233,Stock_list!A:Y,25,FALSE)</f>
        <v>#N/A</v>
      </c>
      <c r="Q1233" s="143"/>
      <c r="T1233" s="144"/>
      <c r="U1233" s="145" t="e">
        <f>VLOOKUP(H1233,Stock_list!A:N,14,FALSE)</f>
        <v>#N/A</v>
      </c>
    </row>
    <row r="1234" spans="1:21" ht="16.5" customHeight="1">
      <c r="A1234" s="159" t="s">
        <v>261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379</v>
      </c>
      <c r="H1234" s="138">
        <v>166</v>
      </c>
      <c r="I1234" s="139" t="e">
        <f>VLOOKUP(H1234,Stock_list!A:R,18,FALSE)</f>
        <v>#N/A</v>
      </c>
      <c r="J1234" s="139" t="e">
        <f>VLOOKUP(H1234,Stock_list!A:S,17,FALSE)</f>
        <v>#N/A</v>
      </c>
      <c r="K1234" s="51" t="e">
        <f>VLOOKUP(H1234,Stock_list!A:T,16,FALSE)</f>
        <v>#N/A</v>
      </c>
      <c r="L1234" s="4"/>
      <c r="M1234" s="132">
        <v>150</v>
      </c>
      <c r="P1234" s="4" t="e">
        <f>VLOOKUP(H1234,Stock_list!A:Y,25,FALSE)</f>
        <v>#N/A</v>
      </c>
      <c r="Q1234" s="143"/>
      <c r="T1234" s="144"/>
      <c r="U1234" s="145" t="e">
        <f>VLOOKUP(H1234,Stock_list!A:N,14,FALSE)</f>
        <v>#N/A</v>
      </c>
    </row>
    <row r="1235" spans="1:21" ht="16.5" customHeight="1">
      <c r="A1235" s="159" t="s">
        <v>264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379</v>
      </c>
      <c r="H1235" s="138">
        <v>166</v>
      </c>
      <c r="I1235" s="139" t="e">
        <f>VLOOKUP(H1235,Stock_list!A:R,18,FALSE)</f>
        <v>#N/A</v>
      </c>
      <c r="J1235" s="139" t="e">
        <f>VLOOKUP(H1235,Stock_list!A:S,17,FALSE)</f>
        <v>#N/A</v>
      </c>
      <c r="K1235" s="51" t="e">
        <f>VLOOKUP(H1235,Stock_list!A:T,16,FALSE)</f>
        <v>#N/A</v>
      </c>
      <c r="L1235" s="4" t="s">
        <v>542</v>
      </c>
      <c r="M1235" s="132">
        <v>40</v>
      </c>
      <c r="P1235" s="4" t="e">
        <f>VLOOKUP(H1235,Stock_list!A:Y,25,FALSE)</f>
        <v>#N/A</v>
      </c>
      <c r="Q1235" s="143"/>
      <c r="T1235" s="144"/>
      <c r="U1235" s="145" t="e">
        <f>VLOOKUP(H1235,Stock_list!A:N,14,FALSE)</f>
        <v>#N/A</v>
      </c>
    </row>
    <row r="1236" spans="1:21" ht="16.5" customHeight="1">
      <c r="A1236" s="159" t="s">
        <v>265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379</v>
      </c>
      <c r="H1236" s="138">
        <v>166</v>
      </c>
      <c r="I1236" s="139" t="e">
        <f>VLOOKUP(H1236,Stock_list!A:R,18,FALSE)</f>
        <v>#N/A</v>
      </c>
      <c r="J1236" s="139" t="e">
        <f>VLOOKUP(H1236,Stock_list!A:S,17,FALSE)</f>
        <v>#N/A</v>
      </c>
      <c r="K1236" s="51" t="e">
        <f>VLOOKUP(H1236,Stock_list!A:T,16,FALSE)</f>
        <v>#N/A</v>
      </c>
      <c r="L1236" s="4"/>
      <c r="M1236" s="132">
        <v>6</v>
      </c>
      <c r="P1236" s="4" t="e">
        <f>VLOOKUP(H1236,Stock_list!A:Y,25,FALSE)</f>
        <v>#N/A</v>
      </c>
      <c r="Q1236" s="143"/>
      <c r="T1236" s="144"/>
      <c r="U1236" s="145" t="e">
        <f>VLOOKUP(H1236,Stock_list!A:N,14,FALSE)</f>
        <v>#N/A</v>
      </c>
    </row>
    <row r="1237" spans="1:21" ht="16.5" customHeight="1">
      <c r="A1237" s="159" t="s">
        <v>266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379</v>
      </c>
      <c r="H1237" s="138">
        <v>166</v>
      </c>
      <c r="I1237" s="139" t="e">
        <f>VLOOKUP(H1237,Stock_list!A:R,18,FALSE)</f>
        <v>#N/A</v>
      </c>
      <c r="J1237" s="139" t="e">
        <f>VLOOKUP(H1237,Stock_list!A:S,17,FALSE)</f>
        <v>#N/A</v>
      </c>
      <c r="K1237" s="51" t="e">
        <f>VLOOKUP(H1237,Stock_list!A:T,16,FALSE)</f>
        <v>#N/A</v>
      </c>
      <c r="L1237" s="4"/>
      <c r="M1237" s="132">
        <v>2</v>
      </c>
      <c r="P1237" s="4" t="e">
        <f>VLOOKUP(H1237,Stock_list!A:Y,25,FALSE)</f>
        <v>#N/A</v>
      </c>
      <c r="Q1237" s="143"/>
      <c r="T1237" s="144"/>
      <c r="U1237" s="145" t="e">
        <f>VLOOKUP(H1237,Stock_list!A:N,14,FALSE)</f>
        <v>#N/A</v>
      </c>
    </row>
    <row r="1238" spans="1:21" ht="16.5" customHeight="1">
      <c r="A1238" s="159" t="s">
        <v>267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379</v>
      </c>
      <c r="H1238" s="138">
        <v>166</v>
      </c>
      <c r="I1238" s="139" t="e">
        <f>VLOOKUP(H1238,Stock_list!A:R,18,FALSE)</f>
        <v>#N/A</v>
      </c>
      <c r="J1238" s="139" t="e">
        <f>VLOOKUP(H1238,Stock_list!A:S,17,FALSE)</f>
        <v>#N/A</v>
      </c>
      <c r="K1238" s="51" t="e">
        <f>VLOOKUP(H1238,Stock_list!A:T,16,FALSE)</f>
        <v>#N/A</v>
      </c>
      <c r="L1238" s="4"/>
      <c r="M1238" s="132">
        <v>1</v>
      </c>
      <c r="P1238" s="4" t="e">
        <f>VLOOKUP(H1238,Stock_list!A:Y,25,FALSE)</f>
        <v>#N/A</v>
      </c>
      <c r="Q1238" s="143"/>
      <c r="T1238" s="144"/>
      <c r="U1238" s="145" t="e">
        <f>VLOOKUP(H1238,Stock_list!A:N,14,FALSE)</f>
        <v>#N/A</v>
      </c>
    </row>
    <row r="1239" spans="1:21" ht="16.5" customHeight="1">
      <c r="A1239" s="159" t="s">
        <v>268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290</v>
      </c>
      <c r="H1239" s="138">
        <v>166</v>
      </c>
      <c r="I1239" s="139" t="e">
        <f>VLOOKUP(H1239,Stock_list!A:R,18,FALSE)</f>
        <v>#N/A</v>
      </c>
      <c r="J1239" s="139" t="e">
        <f>VLOOKUP(H1239,Stock_list!A:S,17,FALSE)</f>
        <v>#N/A</v>
      </c>
      <c r="K1239" s="51" t="e">
        <f>VLOOKUP(H1239,Stock_list!A:T,16,FALSE)</f>
        <v>#N/A</v>
      </c>
      <c r="L1239" s="4"/>
      <c r="M1239" s="132">
        <v>1</v>
      </c>
      <c r="P1239" s="4" t="e">
        <f>VLOOKUP(H1239,Stock_list!A:Y,25,FALSE)</f>
        <v>#N/A</v>
      </c>
      <c r="Q1239" s="143"/>
      <c r="S1239" s="123" t="s">
        <v>521</v>
      </c>
      <c r="T1239" s="144" t="s">
        <v>541</v>
      </c>
      <c r="U1239" s="145" t="e">
        <f>VLOOKUP(H1239,Stock_list!A:N,14,FALSE)</f>
        <v>#N/A</v>
      </c>
    </row>
    <row r="1240" spans="1:21" ht="16.5" customHeight="1">
      <c r="A1240" s="159" t="s">
        <v>261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379</v>
      </c>
      <c r="H1240" s="138">
        <v>177</v>
      </c>
      <c r="I1240" s="139" t="e">
        <f>VLOOKUP(H1240,Stock_list!A:R,18,FALSE)</f>
        <v>#N/A</v>
      </c>
      <c r="J1240" s="139" t="e">
        <f>VLOOKUP(H1240,Stock_list!A:S,17,FALSE)</f>
        <v>#N/A</v>
      </c>
      <c r="K1240" s="51" t="e">
        <f>VLOOKUP(H1240,Stock_list!A:T,16,FALSE)</f>
        <v>#N/A</v>
      </c>
      <c r="L1240" s="4">
        <v>43672</v>
      </c>
      <c r="M1240" s="132">
        <v>60</v>
      </c>
      <c r="P1240" s="4" t="e">
        <f>VLOOKUP(H1240,Stock_list!A:Y,25,FALSE)</f>
        <v>#N/A</v>
      </c>
      <c r="Q1240" s="143"/>
      <c r="T1240" s="144"/>
      <c r="U1240" s="145" t="e">
        <f>VLOOKUP(H1240,Stock_list!A:N,14,FALSE)</f>
        <v>#N/A</v>
      </c>
    </row>
    <row r="1241" spans="1:21" ht="16.5" customHeight="1">
      <c r="A1241" s="159" t="s">
        <v>264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379</v>
      </c>
      <c r="H1241" s="138">
        <v>177</v>
      </c>
      <c r="I1241" s="139" t="e">
        <f>VLOOKUP(H1241,Stock_list!A:R,18,FALSE)</f>
        <v>#N/A</v>
      </c>
      <c r="J1241" s="139" t="e">
        <f>VLOOKUP(H1241,Stock_list!A:S,17,FALSE)</f>
        <v>#N/A</v>
      </c>
      <c r="K1241" s="51" t="e">
        <f>VLOOKUP(H1241,Stock_list!A:T,16,FALSE)</f>
        <v>#N/A</v>
      </c>
      <c r="L1241" s="4">
        <v>43672</v>
      </c>
      <c r="M1241" s="132">
        <v>10</v>
      </c>
      <c r="P1241" s="4" t="e">
        <f>VLOOKUP(H1241,Stock_list!A:Y,25,FALSE)</f>
        <v>#N/A</v>
      </c>
      <c r="Q1241" s="143"/>
      <c r="T1241" s="144"/>
      <c r="U1241" s="145" t="e">
        <f>VLOOKUP(H1241,Stock_list!A:N,14,FALSE)</f>
        <v>#N/A</v>
      </c>
    </row>
    <row r="1242" spans="1:21" ht="16.5" customHeight="1">
      <c r="A1242" s="159" t="s">
        <v>265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379</v>
      </c>
      <c r="H1242" s="138">
        <v>177</v>
      </c>
      <c r="I1242" s="139" t="e">
        <f>VLOOKUP(H1242,Stock_list!A:R,18,FALSE)</f>
        <v>#N/A</v>
      </c>
      <c r="J1242" s="139" t="e">
        <f>VLOOKUP(H1242,Stock_list!A:S,17,FALSE)</f>
        <v>#N/A</v>
      </c>
      <c r="K1242" s="51" t="e">
        <f>VLOOKUP(H1242,Stock_list!A:T,16,FALSE)</f>
        <v>#N/A</v>
      </c>
      <c r="L1242" s="4">
        <v>43672</v>
      </c>
      <c r="M1242" s="132">
        <v>6</v>
      </c>
      <c r="P1242" s="4" t="e">
        <f>VLOOKUP(H1242,Stock_list!A:Y,25,FALSE)</f>
        <v>#N/A</v>
      </c>
      <c r="Q1242" s="143"/>
      <c r="T1242" s="144"/>
      <c r="U1242" s="145" t="e">
        <f>VLOOKUP(H1242,Stock_list!A:N,14,FALSE)</f>
        <v>#N/A</v>
      </c>
    </row>
    <row r="1243" spans="1:21" ht="16.5" customHeight="1">
      <c r="A1243" s="159" t="s">
        <v>266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379</v>
      </c>
      <c r="H1243" s="138">
        <v>177</v>
      </c>
      <c r="I1243" s="139" t="e">
        <f>VLOOKUP(H1243,Stock_list!A:R,18,FALSE)</f>
        <v>#N/A</v>
      </c>
      <c r="J1243" s="139" t="e">
        <f>VLOOKUP(H1243,Stock_list!A:S,17,FALSE)</f>
        <v>#N/A</v>
      </c>
      <c r="K1243" s="51" t="e">
        <f>VLOOKUP(H1243,Stock_list!A:T,16,FALSE)</f>
        <v>#N/A</v>
      </c>
      <c r="L1243" s="4">
        <v>43672</v>
      </c>
      <c r="M1243" s="132">
        <v>3</v>
      </c>
      <c r="P1243" s="4" t="e">
        <f>VLOOKUP(H1243,Stock_list!A:Y,25,FALSE)</f>
        <v>#N/A</v>
      </c>
      <c r="Q1243" s="143"/>
      <c r="T1243" s="144"/>
      <c r="U1243" s="145" t="e">
        <f>VLOOKUP(H1243,Stock_list!A:N,14,FALSE)</f>
        <v>#N/A</v>
      </c>
    </row>
    <row r="1244" spans="1:21" ht="16.5" customHeight="1">
      <c r="A1244" s="159" t="s">
        <v>261</v>
      </c>
      <c r="B1244" s="114" t="str">
        <f>VLOOKUP(A1244,'Data pick slip'!B:F,5,FALSE)</f>
        <v>KHJ-MC100-00</v>
      </c>
      <c r="C1244" s="156">
        <v>109295</v>
      </c>
      <c r="E1244" s="160" t="e">
        <f>VLOOKUP(C1244,Stock_list!D:L,9,FALSE)</f>
        <v>#N/A</v>
      </c>
      <c r="F1244" s="157" t="s">
        <v>379</v>
      </c>
      <c r="H1244" s="138">
        <v>181</v>
      </c>
      <c r="I1244" s="139" t="e">
        <f>VLOOKUP(H1244,Stock_list!A:R,18,FALSE)</f>
        <v>#N/A</v>
      </c>
      <c r="J1244" s="139" t="e">
        <f>VLOOKUP(H1244,Stock_list!A:S,17,FALSE)</f>
        <v>#N/A</v>
      </c>
      <c r="K1244" s="51" t="e">
        <f>VLOOKUP(H1244,Stock_list!A:T,16,FALSE)</f>
        <v>#N/A</v>
      </c>
      <c r="L1244" s="4"/>
      <c r="M1244" s="132">
        <v>40</v>
      </c>
      <c r="P1244" s="4" t="e">
        <f>VLOOKUP(H1244,Stock_list!A:Y,25,FALSE)</f>
        <v>#N/A</v>
      </c>
      <c r="Q1244" s="143"/>
      <c r="T1244" s="144"/>
      <c r="U1244" s="145" t="e">
        <f>VLOOKUP(H1244,Stock_list!A:N,14,FALSE)</f>
        <v>#N/A</v>
      </c>
    </row>
    <row r="1245" spans="1:21" ht="16.5" customHeight="1">
      <c r="A1245" s="159" t="s">
        <v>264</v>
      </c>
      <c r="B1245" s="114" t="str">
        <f>VLOOKUP(A1245,'Data pick slip'!B:F,5,FALSE)</f>
        <v>KHJ-MC200-00</v>
      </c>
      <c r="C1245" s="156">
        <v>109295</v>
      </c>
      <c r="E1245" s="160" t="e">
        <f>VLOOKUP(C1245,Stock_list!D:L,9,FALSE)</f>
        <v>#N/A</v>
      </c>
      <c r="F1245" s="157" t="s">
        <v>379</v>
      </c>
      <c r="H1245" s="138">
        <v>181</v>
      </c>
      <c r="I1245" s="139" t="e">
        <f>VLOOKUP(H1245,Stock_list!A:R,18,FALSE)</f>
        <v>#N/A</v>
      </c>
      <c r="J1245" s="139" t="e">
        <f>VLOOKUP(H1245,Stock_list!A:S,17,FALSE)</f>
        <v>#N/A</v>
      </c>
      <c r="K1245" s="51" t="e">
        <f>VLOOKUP(H1245,Stock_list!A:T,16,FALSE)</f>
        <v>#N/A</v>
      </c>
      <c r="L1245" s="4" t="s">
        <v>542</v>
      </c>
      <c r="M1245" s="132">
        <v>15</v>
      </c>
      <c r="P1245" s="4" t="e">
        <f>VLOOKUP(H1245,Stock_list!A:Y,25,FALSE)</f>
        <v>#N/A</v>
      </c>
      <c r="Q1245" s="143"/>
      <c r="T1245" s="144"/>
      <c r="U1245" s="145" t="e">
        <f>VLOOKUP(H1245,Stock_list!A:N,14,FALSE)</f>
        <v>#N/A</v>
      </c>
    </row>
    <row r="1246" spans="1:21" ht="16.5" customHeight="1">
      <c r="A1246" s="159" t="s">
        <v>265</v>
      </c>
      <c r="B1246" s="114" t="str">
        <f>VLOOKUP(A1246,'Data pick slip'!B:F,5,FALSE)</f>
        <v>KHJ-MC400-00</v>
      </c>
      <c r="C1246" s="156">
        <v>109295</v>
      </c>
      <c r="E1246" s="160" t="e">
        <f>VLOOKUP(C1246,Stock_list!D:L,9,FALSE)</f>
        <v>#N/A</v>
      </c>
      <c r="F1246" s="157" t="s">
        <v>379</v>
      </c>
      <c r="H1246" s="138">
        <v>181</v>
      </c>
      <c r="I1246" s="139" t="e">
        <f>VLOOKUP(H1246,Stock_list!A:R,18,FALSE)</f>
        <v>#N/A</v>
      </c>
      <c r="J1246" s="139" t="e">
        <f>VLOOKUP(H1246,Stock_list!A:S,17,FALSE)</f>
        <v>#N/A</v>
      </c>
      <c r="K1246" s="51" t="e">
        <f>VLOOKUP(H1246,Stock_list!A:T,16,FALSE)</f>
        <v>#N/A</v>
      </c>
      <c r="L1246" s="4"/>
      <c r="M1246" s="132">
        <v>2</v>
      </c>
      <c r="P1246" s="4" t="e">
        <f>VLOOKUP(H1246,Stock_list!A:Y,25,FALSE)</f>
        <v>#N/A</v>
      </c>
      <c r="Q1246" s="143"/>
      <c r="T1246" s="144"/>
      <c r="U1246" s="145" t="e">
        <f>VLOOKUP(H1246,Stock_list!A:N,14,FALSE)</f>
        <v>#N/A</v>
      </c>
    </row>
    <row r="1247" spans="1:21" ht="16.5" customHeight="1">
      <c r="A1247" s="159" t="s">
        <v>266</v>
      </c>
      <c r="B1247" s="114" t="str">
        <f>VLOOKUP(A1247,'Data pick slip'!B:F,5,FALSE)</f>
        <v>KHJ-MC500-00</v>
      </c>
      <c r="C1247" s="156">
        <v>109295</v>
      </c>
      <c r="E1247" s="160" t="e">
        <f>VLOOKUP(C1247,Stock_list!D:L,9,FALSE)</f>
        <v>#N/A</v>
      </c>
      <c r="F1247" s="157" t="s">
        <v>379</v>
      </c>
      <c r="H1247" s="138">
        <v>181</v>
      </c>
      <c r="I1247" s="139" t="e">
        <f>VLOOKUP(H1247,Stock_list!A:R,18,FALSE)</f>
        <v>#N/A</v>
      </c>
      <c r="J1247" s="139" t="e">
        <f>VLOOKUP(H1247,Stock_list!A:S,17,FALSE)</f>
        <v>#N/A</v>
      </c>
      <c r="K1247" s="51" t="e">
        <f>VLOOKUP(H1247,Stock_list!A:T,16,FALSE)</f>
        <v>#N/A</v>
      </c>
      <c r="L1247" s="4"/>
      <c r="M1247" s="132">
        <v>2</v>
      </c>
      <c r="P1247" s="4" t="e">
        <f>VLOOKUP(H1247,Stock_list!A:Y,25,FALSE)</f>
        <v>#N/A</v>
      </c>
      <c r="Q1247" s="143"/>
      <c r="T1247" s="144"/>
      <c r="U1247" s="145" t="e">
        <f>VLOOKUP(H1247,Stock_list!A:N,14,FALSE)</f>
        <v>#N/A</v>
      </c>
    </row>
    <row r="1248" spans="1:21" ht="16.5" customHeight="1">
      <c r="A1248" s="159" t="s">
        <v>261</v>
      </c>
      <c r="B1248" s="114" t="str">
        <f>VLOOKUP(A1248,'Data pick slip'!B:F,5,FALSE)</f>
        <v>KHJ-MC100-00</v>
      </c>
      <c r="C1248" s="156">
        <v>109279</v>
      </c>
      <c r="E1248" s="160" t="e">
        <f>VLOOKUP(C1248,Stock_list!D:L,9,FALSE)</f>
        <v>#N/A</v>
      </c>
      <c r="F1248" s="157" t="s">
        <v>379</v>
      </c>
      <c r="H1248" s="138">
        <v>182</v>
      </c>
      <c r="I1248" s="139" t="e">
        <f>VLOOKUP(H1248,Stock_list!A:R,18,FALSE)</f>
        <v>#N/A</v>
      </c>
      <c r="J1248" s="139" t="e">
        <f>VLOOKUP(H1248,Stock_list!A:S,17,FALSE)</f>
        <v>#N/A</v>
      </c>
      <c r="K1248" s="51" t="e">
        <f>VLOOKUP(H1248,Stock_list!A:T,16,FALSE)</f>
        <v>#N/A</v>
      </c>
      <c r="L1248" s="4"/>
      <c r="M1248" s="140">
        <v>20</v>
      </c>
      <c r="P1248" s="4" t="e">
        <f>VLOOKUP(H1248,Stock_list!A:Y,25,FALSE)</f>
        <v>#N/A</v>
      </c>
      <c r="Q1248" s="143"/>
      <c r="T1248" s="144"/>
      <c r="U1248" s="145" t="e">
        <f>VLOOKUP(H1248,Stock_list!A:N,14,FALSE)</f>
        <v>#N/A</v>
      </c>
    </row>
    <row r="1249" spans="1:21" ht="16.5" customHeight="1">
      <c r="A1249" s="159" t="s">
        <v>261</v>
      </c>
      <c r="B1249" s="114" t="str">
        <f>VLOOKUP(A1249,'Data pick slip'!B:F,5,FALSE)</f>
        <v>KHJ-MC100-00</v>
      </c>
      <c r="C1249" s="156">
        <v>109390</v>
      </c>
      <c r="E1249" s="160" t="e">
        <f>VLOOKUP(C1249,Stock_list!D:L,9,FALSE)</f>
        <v>#N/A</v>
      </c>
      <c r="F1249" s="157" t="s">
        <v>379</v>
      </c>
      <c r="H1249" s="138">
        <v>183</v>
      </c>
      <c r="I1249" s="139" t="e">
        <f>VLOOKUP(H1249,Stock_list!A:R,18,FALSE)</f>
        <v>#N/A</v>
      </c>
      <c r="J1249" s="139" t="e">
        <f>VLOOKUP(H1249,Stock_list!A:S,17,FALSE)</f>
        <v>#N/A</v>
      </c>
      <c r="K1249" s="51" t="e">
        <f>VLOOKUP(H1249,Stock_list!A:T,16,FALSE)</f>
        <v>#N/A</v>
      </c>
      <c r="L1249" s="4"/>
      <c r="M1249" s="132">
        <v>50</v>
      </c>
      <c r="P1249" s="4" t="e">
        <f>VLOOKUP(H1249,Stock_list!A:Y,25,FALSE)</f>
        <v>#N/A</v>
      </c>
      <c r="Q1249" s="143"/>
      <c r="T1249" s="144"/>
      <c r="U1249" s="145" t="e">
        <f>VLOOKUP(H1249,Stock_list!A:N,14,FALSE)</f>
        <v>#N/A</v>
      </c>
    </row>
    <row r="1250" spans="1:21" ht="16.5" customHeight="1">
      <c r="A1250" s="159" t="s">
        <v>264</v>
      </c>
      <c r="B1250" s="114" t="str">
        <f>VLOOKUP(A1250,'Data pick slip'!B:F,5,FALSE)</f>
        <v>KHJ-MC200-00</v>
      </c>
      <c r="C1250" s="156">
        <v>109493</v>
      </c>
      <c r="E1250" s="160" t="e">
        <f>VLOOKUP(C1250,Stock_list!D:L,9,FALSE)</f>
        <v>#N/A</v>
      </c>
      <c r="F1250" s="157" t="s">
        <v>379</v>
      </c>
      <c r="H1250" s="138">
        <v>183</v>
      </c>
      <c r="I1250" s="139" t="e">
        <f>VLOOKUP(H1250,Stock_list!A:R,18,FALSE)</f>
        <v>#N/A</v>
      </c>
      <c r="J1250" s="139" t="e">
        <f>VLOOKUP(H1250,Stock_list!A:S,17,FALSE)</f>
        <v>#N/A</v>
      </c>
      <c r="K1250" s="51" t="e">
        <f>VLOOKUP(H1250,Stock_list!A:T,16,FALSE)</f>
        <v>#N/A</v>
      </c>
      <c r="L1250" s="4" t="s">
        <v>542</v>
      </c>
      <c r="M1250" s="132">
        <v>5</v>
      </c>
      <c r="P1250" s="4" t="e">
        <f>VLOOKUP(H1250,Stock_list!A:Y,25,FALSE)</f>
        <v>#N/A</v>
      </c>
      <c r="Q1250" s="143"/>
      <c r="T1250" s="144"/>
      <c r="U1250" s="145" t="e">
        <f>VLOOKUP(H1250,Stock_list!A:N,14,FALSE)</f>
        <v>#N/A</v>
      </c>
    </row>
    <row r="1251" spans="1:21" ht="16.5" customHeight="1">
      <c r="A1251" s="159" t="s">
        <v>265</v>
      </c>
      <c r="B1251" s="114" t="str">
        <f>VLOOKUP(A1251,'Data pick slip'!B:F,5,FALSE)</f>
        <v>KHJ-MC400-00</v>
      </c>
      <c r="C1251" s="156">
        <v>109493</v>
      </c>
      <c r="E1251" s="160" t="e">
        <f>VLOOKUP(C1251,Stock_list!D:L,9,FALSE)</f>
        <v>#N/A</v>
      </c>
      <c r="F1251" s="157" t="s">
        <v>379</v>
      </c>
      <c r="H1251" s="138">
        <v>183</v>
      </c>
      <c r="I1251" s="139" t="e">
        <f>VLOOKUP(H1251,Stock_list!A:R,18,FALSE)</f>
        <v>#N/A</v>
      </c>
      <c r="J1251" s="139" t="e">
        <f>VLOOKUP(H1251,Stock_list!A:S,17,FALSE)</f>
        <v>#N/A</v>
      </c>
      <c r="K1251" s="51" t="e">
        <f>VLOOKUP(H1251,Stock_list!A:T,16,FALSE)</f>
        <v>#N/A</v>
      </c>
      <c r="L1251" s="4"/>
      <c r="M1251" s="132">
        <v>2</v>
      </c>
      <c r="P1251" s="4" t="e">
        <f>VLOOKUP(H1251,Stock_list!A:Y,25,FALSE)</f>
        <v>#N/A</v>
      </c>
      <c r="Q1251" s="143"/>
      <c r="T1251" s="144"/>
      <c r="U1251" s="145" t="e">
        <f>VLOOKUP(H1251,Stock_list!A:N,14,FALSE)</f>
        <v>#N/A</v>
      </c>
    </row>
    <row r="1252" spans="1:21" ht="16.5" customHeight="1">
      <c r="A1252" s="159" t="s">
        <v>272</v>
      </c>
      <c r="B1252" s="114" t="str">
        <f>VLOOKUP(A1252,'Data pick slip'!B:F,5,FALSE)</f>
        <v>KLJ-MC100-00</v>
      </c>
      <c r="F1252" s="157" t="s">
        <v>290</v>
      </c>
      <c r="H1252" s="138">
        <v>183</v>
      </c>
      <c r="I1252" s="139" t="e">
        <f>VLOOKUP(H1252,Stock_list!A:R,18,FALSE)</f>
        <v>#N/A</v>
      </c>
      <c r="J1252" s="139" t="e">
        <f>VLOOKUP(H1252,Stock_list!A:S,17,FALSE)</f>
        <v>#N/A</v>
      </c>
      <c r="K1252" s="51" t="e">
        <f>VLOOKUP(H1252,Stock_list!A:T,16,FALSE)</f>
        <v>#N/A</v>
      </c>
      <c r="L1252" s="4"/>
      <c r="M1252" s="132">
        <v>18</v>
      </c>
      <c r="P1252" s="4" t="e">
        <f>VLOOKUP(H1252,Stock_list!A:Y,25,FALSE)</f>
        <v>#N/A</v>
      </c>
      <c r="Q1252" s="143"/>
      <c r="S1252" s="123" t="s">
        <v>521</v>
      </c>
      <c r="T1252" s="144" t="s">
        <v>554</v>
      </c>
      <c r="U1252" s="145" t="e">
        <f>VLOOKUP(H1252,Stock_list!A:N,14,FALSE)</f>
        <v>#N/A</v>
      </c>
    </row>
    <row r="1253" spans="1:21" ht="16.5" customHeight="1">
      <c r="A1253" s="159" t="s">
        <v>266</v>
      </c>
      <c r="B1253" s="114" t="str">
        <f>VLOOKUP(A1253,'Data pick slip'!B:F,5,FALSE)</f>
        <v>KHJ-MC500-00</v>
      </c>
      <c r="C1253" s="156">
        <v>109493</v>
      </c>
      <c r="E1253" s="160" t="e">
        <f>VLOOKUP(C1253,Stock_list!D:L,9,FALSE)</f>
        <v>#N/A</v>
      </c>
      <c r="F1253" s="157" t="s">
        <v>290</v>
      </c>
      <c r="H1253" s="138">
        <v>183</v>
      </c>
      <c r="I1253" s="139" t="e">
        <f>VLOOKUP(H1253,Stock_list!A:R,18,FALSE)</f>
        <v>#N/A</v>
      </c>
      <c r="J1253" s="139" t="e">
        <f>VLOOKUP(H1253,Stock_list!A:S,17,FALSE)</f>
        <v>#N/A</v>
      </c>
      <c r="K1253" s="51" t="e">
        <f>VLOOKUP(H1253,Stock_list!A:T,16,FALSE)</f>
        <v>#N/A</v>
      </c>
      <c r="L1253" s="4"/>
      <c r="M1253" s="132">
        <v>1</v>
      </c>
      <c r="P1253" s="4" t="e">
        <f>VLOOKUP(H1253,Stock_list!A:Y,25,FALSE)</f>
        <v>#N/A</v>
      </c>
      <c r="Q1253" s="143"/>
      <c r="S1253" s="123" t="s">
        <v>521</v>
      </c>
      <c r="T1253" s="144" t="s">
        <v>541</v>
      </c>
      <c r="U1253" s="145" t="e">
        <f>VLOOKUP(H1253,Stock_list!A:N,14,FALSE)</f>
        <v>#N/A</v>
      </c>
    </row>
    <row r="1254" spans="1:21" ht="16.5" customHeight="1">
      <c r="A1254" s="159" t="s">
        <v>267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290</v>
      </c>
      <c r="H1254" s="138">
        <v>183</v>
      </c>
      <c r="I1254" s="139" t="e">
        <f>VLOOKUP(H1254,Stock_list!A:R,18,FALSE)</f>
        <v>#N/A</v>
      </c>
      <c r="J1254" s="139" t="e">
        <f>VLOOKUP(H1254,Stock_list!A:S,17,FALSE)</f>
        <v>#N/A</v>
      </c>
      <c r="K1254" s="51" t="e">
        <f>VLOOKUP(H1254,Stock_list!A:T,16,FALSE)</f>
        <v>#N/A</v>
      </c>
      <c r="L1254" s="4"/>
      <c r="M1254" s="132">
        <v>1</v>
      </c>
      <c r="P1254" s="4" t="e">
        <f>VLOOKUP(H1254,Stock_list!A:Y,25,FALSE)</f>
        <v>#N/A</v>
      </c>
      <c r="Q1254" s="143"/>
      <c r="S1254" s="123" t="s">
        <v>521</v>
      </c>
      <c r="T1254" s="144" t="s">
        <v>541</v>
      </c>
      <c r="U1254" s="145" t="e">
        <f>VLOOKUP(H1254,Stock_list!A:N,14,FALSE)</f>
        <v>#N/A</v>
      </c>
    </row>
    <row r="1255" spans="1:21" ht="16.5" customHeight="1">
      <c r="A1255" s="159" t="s">
        <v>261</v>
      </c>
      <c r="B1255" s="114" t="str">
        <f>VLOOKUP(A1255,'Data pick slip'!B:F,5,FALSE)</f>
        <v>KHJ-MC100-00</v>
      </c>
      <c r="C1255" s="156">
        <v>109390</v>
      </c>
      <c r="E1255" s="160" t="e">
        <f>VLOOKUP(C1255,Stock_list!D:L,9,FALSE)</f>
        <v>#N/A</v>
      </c>
      <c r="F1255" s="157" t="s">
        <v>379</v>
      </c>
      <c r="H1255" s="138">
        <v>184</v>
      </c>
      <c r="I1255" s="139" t="e">
        <f>VLOOKUP(H1255,Stock_list!A:R,18,FALSE)</f>
        <v>#N/A</v>
      </c>
      <c r="J1255" s="139" t="e">
        <f>VLOOKUP(H1255,Stock_list!A:S,17,FALSE)</f>
        <v>#N/A</v>
      </c>
      <c r="K1255" s="51" t="e">
        <f>VLOOKUP(H1255,Stock_list!A:T,16,FALSE)</f>
        <v>#N/A</v>
      </c>
      <c r="L1255" s="4"/>
      <c r="M1255" s="132">
        <v>50</v>
      </c>
      <c r="P1255" s="4" t="e">
        <f>VLOOKUP(H1255,Stock_list!A:Y,25,FALSE)</f>
        <v>#N/A</v>
      </c>
      <c r="Q1255" s="143"/>
      <c r="T1255" s="144"/>
      <c r="U1255" s="145" t="e">
        <f>VLOOKUP(H1255,Stock_list!A:N,14,FALSE)</f>
        <v>#N/A</v>
      </c>
    </row>
    <row r="1256" spans="1:21" ht="16.5" customHeight="1">
      <c r="A1256" s="159" t="s">
        <v>264</v>
      </c>
      <c r="B1256" s="114" t="str">
        <f>VLOOKUP(A1256,'Data pick slip'!B:F,5,FALSE)</f>
        <v>KHJ-MC200-00</v>
      </c>
      <c r="C1256" s="156">
        <v>109493</v>
      </c>
      <c r="E1256" s="160" t="e">
        <f>VLOOKUP(C1256,Stock_list!D:L,9,FALSE)</f>
        <v>#N/A</v>
      </c>
      <c r="F1256" s="157" t="s">
        <v>379</v>
      </c>
      <c r="H1256" s="138">
        <v>184</v>
      </c>
      <c r="I1256" s="139" t="e">
        <f>VLOOKUP(H1256,Stock_list!A:R,18,FALSE)</f>
        <v>#N/A</v>
      </c>
      <c r="J1256" s="139" t="e">
        <f>VLOOKUP(H1256,Stock_list!A:S,17,FALSE)</f>
        <v>#N/A</v>
      </c>
      <c r="K1256" s="51" t="e">
        <f>VLOOKUP(H1256,Stock_list!A:T,16,FALSE)</f>
        <v>#N/A</v>
      </c>
      <c r="L1256" s="4">
        <v>43532</v>
      </c>
      <c r="M1256" s="132">
        <v>8</v>
      </c>
      <c r="P1256" s="4" t="e">
        <f>VLOOKUP(H1256,Stock_list!A:Y,25,FALSE)</f>
        <v>#N/A</v>
      </c>
      <c r="Q1256" s="143"/>
      <c r="T1256" s="144"/>
      <c r="U1256" s="145" t="e">
        <f>VLOOKUP(H1256,Stock_list!A:N,14,FALSE)</f>
        <v>#N/A</v>
      </c>
    </row>
    <row r="1257" spans="1:21" ht="16.5" customHeight="1">
      <c r="A1257" s="159" t="s">
        <v>265</v>
      </c>
      <c r="B1257" s="114" t="str">
        <f>VLOOKUP(A1257,'Data pick slip'!B:F,5,FALSE)</f>
        <v>KHJ-MC400-00</v>
      </c>
      <c r="C1257" s="156">
        <v>109493</v>
      </c>
      <c r="E1257" s="160" t="e">
        <f>VLOOKUP(C1257,Stock_list!D:L,9,FALSE)</f>
        <v>#N/A</v>
      </c>
      <c r="F1257" s="157" t="s">
        <v>379</v>
      </c>
      <c r="H1257" s="138">
        <v>184</v>
      </c>
      <c r="I1257" s="139" t="e">
        <f>VLOOKUP(H1257,Stock_list!A:R,18,FALSE)</f>
        <v>#N/A</v>
      </c>
      <c r="J1257" s="139" t="e">
        <f>VLOOKUP(H1257,Stock_list!A:S,17,FALSE)</f>
        <v>#N/A</v>
      </c>
      <c r="K1257" s="51" t="e">
        <f>VLOOKUP(H1257,Stock_list!A:T,16,FALSE)</f>
        <v>#N/A</v>
      </c>
      <c r="L1257" s="4"/>
      <c r="M1257" s="132">
        <v>2</v>
      </c>
      <c r="P1257" s="4" t="e">
        <f>VLOOKUP(H1257,Stock_list!A:Y,25,FALSE)</f>
        <v>#N/A</v>
      </c>
      <c r="Q1257" s="143"/>
      <c r="T1257" s="144"/>
      <c r="U1257" s="145" t="e">
        <f>VLOOKUP(H1257,Stock_list!A:N,14,FALSE)</f>
        <v>#N/A</v>
      </c>
    </row>
    <row r="1258" spans="1:21" ht="16.5" customHeight="1">
      <c r="A1258" s="159" t="s">
        <v>266</v>
      </c>
      <c r="B1258" s="114" t="str">
        <f>VLOOKUP(A1258,'Data pick slip'!B:F,5,FALSE)</f>
        <v>KHJ-MC500-00</v>
      </c>
      <c r="C1258" s="156">
        <v>109493</v>
      </c>
      <c r="E1258" s="160" t="e">
        <f>VLOOKUP(C1258,Stock_list!D:L,9,FALSE)</f>
        <v>#N/A</v>
      </c>
      <c r="F1258" s="157" t="s">
        <v>379</v>
      </c>
      <c r="H1258" s="138">
        <v>184</v>
      </c>
      <c r="I1258" s="139" t="e">
        <f>VLOOKUP(H1258,Stock_list!A:R,18,FALSE)</f>
        <v>#N/A</v>
      </c>
      <c r="J1258" s="139" t="e">
        <f>VLOOKUP(H1258,Stock_list!A:S,17,FALSE)</f>
        <v>#N/A</v>
      </c>
      <c r="K1258" s="51" t="e">
        <f>VLOOKUP(H1258,Stock_list!A:T,16,FALSE)</f>
        <v>#N/A</v>
      </c>
      <c r="L1258" s="4"/>
      <c r="M1258" s="132">
        <v>1</v>
      </c>
      <c r="P1258" s="4" t="e">
        <f>VLOOKUP(H1258,Stock_list!A:Y,25,FALSE)</f>
        <v>#N/A</v>
      </c>
      <c r="Q1258" s="143"/>
      <c r="T1258" s="144"/>
      <c r="U1258" s="145" t="e">
        <f>VLOOKUP(H1258,Stock_list!A:N,14,FALSE)</f>
        <v>#N/A</v>
      </c>
    </row>
    <row r="1259" spans="1:21" ht="16.5" customHeight="1">
      <c r="A1259" s="159" t="s">
        <v>272</v>
      </c>
      <c r="B1259" s="114" t="str">
        <f>VLOOKUP(A1259,'Data pick slip'!B:F,5,FALSE)</f>
        <v>KLJ-MC100-00</v>
      </c>
      <c r="F1259" s="157" t="s">
        <v>290</v>
      </c>
      <c r="H1259" s="138">
        <v>184</v>
      </c>
      <c r="I1259" s="139" t="e">
        <f>VLOOKUP(H1259,Stock_list!A:R,18,FALSE)</f>
        <v>#N/A</v>
      </c>
      <c r="J1259" s="139" t="e">
        <f>VLOOKUP(H1259,Stock_list!A:S,17,FALSE)</f>
        <v>#N/A</v>
      </c>
      <c r="K1259" s="51" t="e">
        <f>VLOOKUP(H1259,Stock_list!A:T,16,FALSE)</f>
        <v>#N/A</v>
      </c>
      <c r="L1259" s="4"/>
      <c r="M1259" s="132">
        <v>38</v>
      </c>
      <c r="P1259" s="4" t="e">
        <f>VLOOKUP(H1259,Stock_list!A:Y,25,FALSE)</f>
        <v>#N/A</v>
      </c>
      <c r="Q1259" s="143"/>
      <c r="S1259" s="123" t="s">
        <v>521</v>
      </c>
      <c r="T1259" s="205" t="s">
        <v>555</v>
      </c>
      <c r="U1259" s="145" t="e">
        <f>VLOOKUP(H1259,Stock_list!A:N,14,FALSE)</f>
        <v>#N/A</v>
      </c>
    </row>
    <row r="1260" spans="1:21" ht="16.5" customHeight="1">
      <c r="A1260" s="159" t="s">
        <v>268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290</v>
      </c>
      <c r="I1260" s="139" t="s">
        <v>371</v>
      </c>
      <c r="J1260" s="139" t="s">
        <v>556</v>
      </c>
      <c r="K1260" s="51" t="s">
        <v>225</v>
      </c>
      <c r="L1260" s="4"/>
      <c r="M1260" s="132">
        <v>1</v>
      </c>
      <c r="P1260" s="4" t="s">
        <v>214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265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379</v>
      </c>
      <c r="I1261" s="139" t="s">
        <v>371</v>
      </c>
      <c r="J1261" s="139" t="s">
        <v>557</v>
      </c>
      <c r="K1261" s="51" t="s">
        <v>225</v>
      </c>
      <c r="L1261" s="4"/>
      <c r="M1261" s="132">
        <v>2</v>
      </c>
      <c r="P1261" s="4" t="s">
        <v>214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261</v>
      </c>
      <c r="B1262" s="114" t="str">
        <f>VLOOKUP(A1262,'Data pick slip'!B:F,5,FALSE)</f>
        <v>KHJ-MC100-00</v>
      </c>
      <c r="C1262" s="156">
        <v>109238</v>
      </c>
      <c r="E1262" s="160" t="e">
        <f>VLOOKUP(C1262,Stock_list!D:L,9,FALSE)</f>
        <v>#N/A</v>
      </c>
      <c r="F1262" s="157" t="s">
        <v>379</v>
      </c>
      <c r="H1262" s="138">
        <v>186</v>
      </c>
      <c r="I1262" s="139" t="e">
        <f>VLOOKUP(H1262,Stock_list!A:R,18,FALSE)</f>
        <v>#N/A</v>
      </c>
      <c r="J1262" s="139" t="e">
        <f>VLOOKUP(H1262,Stock_list!A:S,17,FALSE)</f>
        <v>#N/A</v>
      </c>
      <c r="K1262" s="51" t="e">
        <f>VLOOKUP(H1262,Stock_list!A:T,16,FALSE)</f>
        <v>#N/A</v>
      </c>
      <c r="L1262" s="4"/>
      <c r="M1262" s="132">
        <v>20</v>
      </c>
      <c r="P1262" s="4" t="e">
        <f>VLOOKUP(H1262,Stock_list!A:Y,25,FALSE)</f>
        <v>#N/A</v>
      </c>
      <c r="Q1262" s="143"/>
      <c r="T1262" s="144"/>
      <c r="U1262" s="145" t="e">
        <f>VLOOKUP(H1262,Stock_list!A:N,14,FALSE)</f>
        <v>#N/A</v>
      </c>
    </row>
    <row r="1263" spans="1:21" ht="16.5" customHeight="1">
      <c r="A1263" s="159" t="s">
        <v>264</v>
      </c>
      <c r="B1263" s="114" t="str">
        <f>VLOOKUP(A1263,'Data pick slip'!B:F,5,FALSE)</f>
        <v>KHJ-MC200-00</v>
      </c>
      <c r="C1263" s="156">
        <v>109238</v>
      </c>
      <c r="E1263" s="160" t="e">
        <f>VLOOKUP(C1263,Stock_list!D:L,9,FALSE)</f>
        <v>#N/A</v>
      </c>
      <c r="F1263" s="157" t="s">
        <v>379</v>
      </c>
      <c r="H1263" s="138">
        <v>186</v>
      </c>
      <c r="I1263" s="139" t="e">
        <f>VLOOKUP(H1263,Stock_list!A:R,18,FALSE)</f>
        <v>#N/A</v>
      </c>
      <c r="J1263" s="139" t="e">
        <f>VLOOKUP(H1263,Stock_list!A:S,17,FALSE)</f>
        <v>#N/A</v>
      </c>
      <c r="K1263" s="51" t="e">
        <f>VLOOKUP(H1263,Stock_list!A:T,16,FALSE)</f>
        <v>#N/A</v>
      </c>
      <c r="L1263" s="4" t="s">
        <v>542</v>
      </c>
      <c r="M1263" s="132">
        <v>10</v>
      </c>
      <c r="P1263" s="4" t="e">
        <f>VLOOKUP(H1263,Stock_list!A:Y,25,FALSE)</f>
        <v>#N/A</v>
      </c>
      <c r="Q1263" s="143"/>
      <c r="T1263" s="144"/>
      <c r="U1263" s="145" t="e">
        <f>VLOOKUP(H1263,Stock_list!A:N,14,FALSE)</f>
        <v>#N/A</v>
      </c>
    </row>
    <row r="1264" spans="1:21" ht="16.5" customHeight="1">
      <c r="A1264" s="159" t="s">
        <v>265</v>
      </c>
      <c r="B1264" s="114" t="str">
        <f>VLOOKUP(A1264,'Data pick slip'!B:F,5,FALSE)</f>
        <v>KHJ-MC400-00</v>
      </c>
      <c r="C1264" s="156">
        <v>109238</v>
      </c>
      <c r="E1264" s="160" t="e">
        <f>VLOOKUP(C1264,Stock_list!D:L,9,FALSE)</f>
        <v>#N/A</v>
      </c>
      <c r="F1264" s="157" t="s">
        <v>379</v>
      </c>
      <c r="H1264" s="138">
        <v>186</v>
      </c>
      <c r="I1264" s="139" t="e">
        <f>VLOOKUP(H1264,Stock_list!A:R,18,FALSE)</f>
        <v>#N/A</v>
      </c>
      <c r="J1264" s="139" t="e">
        <f>VLOOKUP(H1264,Stock_list!A:S,17,FALSE)</f>
        <v>#N/A</v>
      </c>
      <c r="K1264" s="51" t="e">
        <f>VLOOKUP(H1264,Stock_list!A:T,16,FALSE)</f>
        <v>#N/A</v>
      </c>
      <c r="L1264" s="4"/>
      <c r="M1264" s="132">
        <v>2</v>
      </c>
      <c r="P1264" s="4" t="e">
        <f>VLOOKUP(H1264,Stock_list!A:Y,25,FALSE)</f>
        <v>#N/A</v>
      </c>
      <c r="Q1264" s="143"/>
      <c r="T1264" s="144"/>
      <c r="U1264" s="145" t="e">
        <f>VLOOKUP(H1264,Stock_list!A:N,14,FALSE)</f>
        <v>#N/A</v>
      </c>
    </row>
    <row r="1265" spans="1:21" ht="16.5" customHeight="1">
      <c r="A1265" s="159" t="s">
        <v>261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290</v>
      </c>
      <c r="H1265" s="138">
        <v>100</v>
      </c>
      <c r="I1265" s="139" t="e">
        <f>VLOOKUP(H1265,Stock_list!A:R,18,FALSE)</f>
        <v>#N/A</v>
      </c>
      <c r="J1265" s="139" t="e">
        <f>VLOOKUP(H1265,Stock_list!A:S,17,FALSE)</f>
        <v>#N/A</v>
      </c>
      <c r="K1265" s="51" t="e">
        <f>VLOOKUP(H1265,Stock_list!A:T,16,FALSE)</f>
        <v>#N/A</v>
      </c>
      <c r="L1265" s="4"/>
      <c r="M1265" s="132"/>
      <c r="O1265" s="132">
        <f>3-3</f>
        <v>0</v>
      </c>
      <c r="P1265" s="4" t="e">
        <f>VLOOKUP(H1265,Stock_list!A:Y,25,FALSE)</f>
        <v>#N/A</v>
      </c>
      <c r="Q1265" s="143"/>
      <c r="T1265" s="144"/>
      <c r="U1265" s="145" t="e">
        <f>VLOOKUP(H1265,Stock_list!A:N,14,FALSE)</f>
        <v>#N/A</v>
      </c>
    </row>
    <row r="1266" spans="1:21" ht="16.5" customHeight="1">
      <c r="A1266" s="159" t="s">
        <v>265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379</v>
      </c>
      <c r="I1266" s="139" t="s">
        <v>533</v>
      </c>
      <c r="J1266" s="139" t="s">
        <v>558</v>
      </c>
      <c r="K1266" s="51" t="s">
        <v>225</v>
      </c>
      <c r="L1266" s="4"/>
      <c r="M1266" s="132">
        <v>10</v>
      </c>
      <c r="P1266" s="4" t="s">
        <v>214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274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379</v>
      </c>
      <c r="I1267" s="139" t="s">
        <v>533</v>
      </c>
      <c r="J1267" s="139" t="s">
        <v>558</v>
      </c>
      <c r="K1267" s="51" t="s">
        <v>225</v>
      </c>
      <c r="L1267" s="4"/>
      <c r="M1267" s="132">
        <v>21</v>
      </c>
      <c r="P1267" s="4" t="s">
        <v>214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266</v>
      </c>
      <c r="B1268" s="114" t="str">
        <f>VLOOKUP(A1268,'Data pick slip'!B:F,5,FALSE)</f>
        <v>KHJ-MC500-00</v>
      </c>
      <c r="F1268" s="157" t="s">
        <v>379</v>
      </c>
      <c r="I1268" s="139" t="s">
        <v>533</v>
      </c>
      <c r="J1268" s="139" t="s">
        <v>558</v>
      </c>
      <c r="K1268" s="51" t="s">
        <v>225</v>
      </c>
      <c r="L1268" s="4"/>
      <c r="M1268" s="132">
        <v>7</v>
      </c>
      <c r="P1268" s="4" t="s">
        <v>214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261</v>
      </c>
      <c r="B1269" s="114" t="str">
        <f>VLOOKUP(A1269,'Data pick slip'!B:F,5,FALSE)</f>
        <v>KHJ-MC100-00</v>
      </c>
      <c r="F1269" s="157" t="s">
        <v>379</v>
      </c>
      <c r="I1269" s="139" t="s">
        <v>533</v>
      </c>
      <c r="J1269" s="139" t="s">
        <v>558</v>
      </c>
      <c r="K1269" s="51" t="s">
        <v>225</v>
      </c>
      <c r="L1269" s="4">
        <v>43441</v>
      </c>
      <c r="M1269" s="132">
        <v>150</v>
      </c>
      <c r="P1269" s="4" t="s">
        <v>214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265</v>
      </c>
      <c r="B1270" s="114" t="str">
        <f>VLOOKUP(A1270,'Data pick slip'!B:F,5,FALSE)</f>
        <v>KHJ-MC400-00</v>
      </c>
      <c r="F1270" s="157" t="s">
        <v>290</v>
      </c>
      <c r="I1270" s="139" t="s">
        <v>371</v>
      </c>
      <c r="J1270" s="139" t="s">
        <v>559</v>
      </c>
      <c r="K1270" s="51" t="s">
        <v>225</v>
      </c>
      <c r="L1270" s="4" t="s">
        <v>532</v>
      </c>
      <c r="M1270" s="132">
        <v>8</v>
      </c>
      <c r="P1270" s="4" t="s">
        <v>214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261</v>
      </c>
      <c r="B1271" s="114" t="str">
        <f>VLOOKUP(A1271,'Data pick slip'!B:F,5,FALSE)</f>
        <v>KHJ-MC100-00</v>
      </c>
      <c r="F1271" s="157" t="s">
        <v>290</v>
      </c>
      <c r="I1271" s="139" t="s">
        <v>371</v>
      </c>
      <c r="J1271" s="139" t="s">
        <v>560</v>
      </c>
      <c r="K1271" s="51" t="s">
        <v>225</v>
      </c>
      <c r="L1271" s="4"/>
      <c r="M1271" s="132">
        <v>45</v>
      </c>
      <c r="P1271" s="4" t="s">
        <v>214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264</v>
      </c>
      <c r="B1272" s="114" t="str">
        <f>VLOOKUP(A1272,'Data pick slip'!B:F,5,FALSE)</f>
        <v>KHJ-MC200-00</v>
      </c>
      <c r="F1272" s="157" t="s">
        <v>290</v>
      </c>
      <c r="I1272" s="139" t="s">
        <v>371</v>
      </c>
      <c r="J1272" s="139" t="s">
        <v>560</v>
      </c>
      <c r="K1272" s="51" t="s">
        <v>225</v>
      </c>
      <c r="L1272" s="4" t="s">
        <v>542</v>
      </c>
      <c r="M1272" s="132">
        <v>2</v>
      </c>
      <c r="P1272" s="4" t="s">
        <v>214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267</v>
      </c>
      <c r="B1273" s="114" t="str">
        <f>VLOOKUP(A1273,'Data pick slip'!B:F,5,FALSE)</f>
        <v>KHJ-MC600-00</v>
      </c>
      <c r="F1273" s="157" t="s">
        <v>290</v>
      </c>
      <c r="I1273" s="139" t="s">
        <v>371</v>
      </c>
      <c r="J1273" s="139" t="s">
        <v>560</v>
      </c>
      <c r="K1273" s="51" t="s">
        <v>225</v>
      </c>
      <c r="L1273" s="4"/>
      <c r="M1273" s="132">
        <v>1</v>
      </c>
      <c r="P1273" s="4" t="s">
        <v>214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261</v>
      </c>
      <c r="B1274" s="114" t="str">
        <f>VLOOKUP(A1274,'Data pick slip'!B:F,5,FALSE)</f>
        <v>KHJ-MC100-00</v>
      </c>
      <c r="F1274" s="157" t="s">
        <v>290</v>
      </c>
      <c r="I1274" s="139" t="s">
        <v>371</v>
      </c>
      <c r="J1274" s="139" t="s">
        <v>561</v>
      </c>
      <c r="K1274" s="51" t="s">
        <v>225</v>
      </c>
      <c r="L1274" s="4"/>
      <c r="M1274" s="132">
        <v>10</v>
      </c>
      <c r="P1274" s="4" t="s">
        <v>214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267</v>
      </c>
      <c r="B1275" s="114" t="str">
        <f>VLOOKUP(A1275,'Data pick slip'!B:F,5,FALSE)</f>
        <v>KHJ-MC600-00</v>
      </c>
      <c r="F1275" s="157" t="s">
        <v>290</v>
      </c>
      <c r="I1275" s="139" t="s">
        <v>371</v>
      </c>
      <c r="J1275" s="139" t="s">
        <v>562</v>
      </c>
      <c r="K1275" s="51" t="s">
        <v>225</v>
      </c>
      <c r="L1275" s="4"/>
      <c r="M1275" s="132">
        <v>4</v>
      </c>
      <c r="P1275" s="4" t="s">
        <v>214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261</v>
      </c>
      <c r="B1276" s="114" t="str">
        <f>VLOOKUP(A1276,'Data pick slip'!B:F,5,FALSE)</f>
        <v>KHJ-MC100-00</v>
      </c>
      <c r="F1276" s="157" t="s">
        <v>290</v>
      </c>
      <c r="I1276" s="139" t="s">
        <v>371</v>
      </c>
      <c r="J1276" s="139" t="s">
        <v>563</v>
      </c>
      <c r="K1276" s="51" t="s">
        <v>225</v>
      </c>
      <c r="L1276" s="4"/>
      <c r="M1276" s="132">
        <v>26</v>
      </c>
      <c r="P1276" s="4" t="s">
        <v>214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273</v>
      </c>
      <c r="B1277" s="114" t="str">
        <f>VLOOKUP(A1277,'Data pick slip'!B:F,5,FALSE)</f>
        <v>KLJ-MC200-00</v>
      </c>
      <c r="F1277" s="157" t="s">
        <v>290</v>
      </c>
      <c r="I1277" s="139" t="s">
        <v>371</v>
      </c>
      <c r="J1277" s="139" t="s">
        <v>563</v>
      </c>
      <c r="K1277" s="51" t="s">
        <v>225</v>
      </c>
      <c r="L1277" s="4"/>
      <c r="M1277" s="132">
        <v>8</v>
      </c>
      <c r="P1277" s="4" t="s">
        <v>214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274</v>
      </c>
      <c r="B1278" s="114" t="str">
        <f>VLOOKUP(A1278,'Data pick slip'!B:F,5,FALSE)</f>
        <v>KLJ-MC400-00</v>
      </c>
      <c r="F1278" s="157" t="s">
        <v>290</v>
      </c>
      <c r="I1278" s="139" t="s">
        <v>371</v>
      </c>
      <c r="J1278" s="139" t="s">
        <v>563</v>
      </c>
      <c r="K1278" s="51" t="s">
        <v>225</v>
      </c>
      <c r="L1278" s="4"/>
      <c r="M1278" s="132">
        <v>2</v>
      </c>
      <c r="P1278" s="4" t="s">
        <v>214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266</v>
      </c>
      <c r="B1279" s="114" t="str">
        <f>VLOOKUP(A1279,'Data pick slip'!B:F,5,FALSE)</f>
        <v>KHJ-MC500-00</v>
      </c>
      <c r="F1279" s="157" t="s">
        <v>290</v>
      </c>
      <c r="I1279" s="139" t="s">
        <v>371</v>
      </c>
      <c r="J1279" s="139" t="s">
        <v>563</v>
      </c>
      <c r="K1279" s="51" t="s">
        <v>225</v>
      </c>
      <c r="L1279" s="4"/>
      <c r="M1279" s="132">
        <v>1</v>
      </c>
      <c r="P1279" s="4" t="s">
        <v>214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273</v>
      </c>
      <c r="B1280" s="114" t="str">
        <f>VLOOKUP(A1280,'Data pick slip'!B:F,5,FALSE)</f>
        <v>KLJ-MC200-00</v>
      </c>
      <c r="F1280" s="157" t="s">
        <v>290</v>
      </c>
      <c r="I1280" s="139" t="s">
        <v>371</v>
      </c>
      <c r="J1280" s="139" t="s">
        <v>564</v>
      </c>
      <c r="K1280" s="51" t="s">
        <v>225</v>
      </c>
      <c r="L1280" s="4"/>
      <c r="M1280" s="132">
        <v>14</v>
      </c>
      <c r="P1280" s="4" t="s">
        <v>214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261</v>
      </c>
      <c r="B1281" s="114" t="str">
        <f>VLOOKUP(A1281,'Data pick slip'!B:F,5,FALSE)</f>
        <v>KHJ-MC100-00</v>
      </c>
      <c r="F1281" s="157" t="s">
        <v>290</v>
      </c>
      <c r="H1281" s="138">
        <v>189</v>
      </c>
      <c r="I1281" s="139" t="e">
        <f>VLOOKUP(H1281,Stock_list!A:R,18,FALSE)</f>
        <v>#N/A</v>
      </c>
      <c r="J1281" s="139" t="e">
        <f>VLOOKUP(H1281,Stock_list!A:S,17,FALSE)</f>
        <v>#N/A</v>
      </c>
      <c r="K1281" s="51" t="e">
        <f>VLOOKUP(H1281,Stock_list!A:T,16,FALSE)</f>
        <v>#N/A</v>
      </c>
      <c r="L1281" s="4"/>
      <c r="M1281" s="132">
        <v>40</v>
      </c>
      <c r="P1281" s="4" t="e">
        <f>VLOOKUP(H1281,Stock_list!A:Y,25,FALSE)</f>
        <v>#N/A</v>
      </c>
      <c r="Q1281" s="133"/>
      <c r="T1281" s="144"/>
      <c r="U1281" s="145" t="e">
        <f>VLOOKUP(H1281,Stock_list!A:N,14,FALSE)</f>
        <v>#N/A</v>
      </c>
    </row>
    <row r="1282" spans="1:21" ht="16.5" customHeight="1">
      <c r="A1282" s="159" t="s">
        <v>264</v>
      </c>
      <c r="B1282" s="114" t="str">
        <f>VLOOKUP(A1282,'Data pick slip'!B:F,5,FALSE)</f>
        <v>KHJ-MC200-00</v>
      </c>
      <c r="F1282" s="157" t="s">
        <v>290</v>
      </c>
      <c r="H1282" s="138">
        <v>189</v>
      </c>
      <c r="I1282" s="139" t="e">
        <f>VLOOKUP(H1282,Stock_list!A:R,18,FALSE)</f>
        <v>#N/A</v>
      </c>
      <c r="J1282" s="139" t="e">
        <f>VLOOKUP(H1282,Stock_list!A:S,17,FALSE)</f>
        <v>#N/A</v>
      </c>
      <c r="K1282" s="51" t="e">
        <f>VLOOKUP(H1282,Stock_list!A:T,16,FALSE)</f>
        <v>#N/A</v>
      </c>
      <c r="L1282" s="4" t="s">
        <v>542</v>
      </c>
      <c r="M1282" s="132">
        <v>2</v>
      </c>
      <c r="P1282" s="4" t="e">
        <f>VLOOKUP(H1282,Stock_list!A:Y,25,FALSE)</f>
        <v>#N/A</v>
      </c>
      <c r="Q1282" s="133"/>
      <c r="T1282" s="144"/>
      <c r="U1282" s="145" t="e">
        <f>VLOOKUP(H1282,Stock_list!A:N,14,FALSE)</f>
        <v>#N/A</v>
      </c>
    </row>
    <row r="1283" spans="1:21" ht="16.5" customHeight="1">
      <c r="A1283" s="159" t="s">
        <v>265</v>
      </c>
      <c r="B1283" s="114" t="str">
        <f>VLOOKUP(A1283,'Data pick slip'!B:F,5,FALSE)</f>
        <v>KHJ-MC400-00</v>
      </c>
      <c r="F1283" s="157" t="s">
        <v>290</v>
      </c>
      <c r="H1283" s="138">
        <v>189</v>
      </c>
      <c r="I1283" s="139" t="e">
        <f>VLOOKUP(H1283,Stock_list!A:R,18,FALSE)</f>
        <v>#N/A</v>
      </c>
      <c r="J1283" s="139" t="e">
        <f>VLOOKUP(H1283,Stock_list!A:S,17,FALSE)</f>
        <v>#N/A</v>
      </c>
      <c r="K1283" s="51" t="e">
        <f>VLOOKUP(H1283,Stock_list!A:T,16,FALSE)</f>
        <v>#N/A</v>
      </c>
      <c r="L1283" s="4" t="s">
        <v>532</v>
      </c>
      <c r="M1283" s="132">
        <v>2</v>
      </c>
      <c r="P1283" s="4" t="e">
        <f>VLOOKUP(H1283,Stock_list!A:Y,25,FALSE)</f>
        <v>#N/A</v>
      </c>
      <c r="Q1283" s="133"/>
      <c r="T1283" s="144"/>
      <c r="U1283" s="145" t="e">
        <f>VLOOKUP(H1283,Stock_list!A:N,14,FALSE)</f>
        <v>#N/A</v>
      </c>
    </row>
    <row r="1284" spans="1:21" ht="16.5" customHeight="1">
      <c r="A1284" s="159" t="s">
        <v>261</v>
      </c>
      <c r="B1284" s="114" t="str">
        <f>VLOOKUP(A1284,'Data pick slip'!B:F,5,FALSE)</f>
        <v>KHJ-MC100-00</v>
      </c>
      <c r="C1284" s="156">
        <v>109344</v>
      </c>
      <c r="F1284" s="157" t="s">
        <v>379</v>
      </c>
      <c r="H1284" s="138">
        <v>201</v>
      </c>
      <c r="I1284" s="139" t="e">
        <f>VLOOKUP(H1284,Stock_list!A:R,18,FALSE)</f>
        <v>#N/A</v>
      </c>
      <c r="J1284" s="139" t="e">
        <f>VLOOKUP(H1284,Stock_list!A:S,17,FALSE)</f>
        <v>#N/A</v>
      </c>
      <c r="K1284" s="51" t="e">
        <f>VLOOKUP(H1284,Stock_list!A:T,16,FALSE)</f>
        <v>#N/A</v>
      </c>
      <c r="L1284" s="4">
        <v>43628</v>
      </c>
      <c r="M1284" s="132">
        <v>170</v>
      </c>
      <c r="P1284" s="4" t="e">
        <f>VLOOKUP(H1284,Stock_list!A:Y,25,FALSE)</f>
        <v>#N/A</v>
      </c>
      <c r="Q1284" s="133"/>
      <c r="T1284" s="144"/>
      <c r="U1284" s="145" t="e">
        <f>VLOOKUP(H1284,Stock_list!A:N,14,FALSE)</f>
        <v>#N/A</v>
      </c>
    </row>
    <row r="1285" spans="1:21" ht="16.5" customHeight="1">
      <c r="A1285" s="159" t="s">
        <v>264</v>
      </c>
      <c r="B1285" s="114" t="str">
        <f>VLOOKUP(A1285,'Data pick slip'!B:F,5,FALSE)</f>
        <v>KHJ-MC200-00</v>
      </c>
      <c r="C1285" s="156">
        <v>109344</v>
      </c>
      <c r="F1285" s="157" t="s">
        <v>379</v>
      </c>
      <c r="H1285" s="138">
        <v>201</v>
      </c>
      <c r="I1285" s="139" t="e">
        <f>VLOOKUP(H1285,Stock_list!A:R,18,FALSE)</f>
        <v>#N/A</v>
      </c>
      <c r="J1285" s="139" t="e">
        <f>VLOOKUP(H1285,Stock_list!A:S,17,FALSE)</f>
        <v>#N/A</v>
      </c>
      <c r="K1285" s="51" t="e">
        <f>VLOOKUP(H1285,Stock_list!A:T,16,FALSE)</f>
        <v>#N/A</v>
      </c>
      <c r="L1285" s="4">
        <v>43628</v>
      </c>
      <c r="M1285" s="132">
        <v>25</v>
      </c>
      <c r="P1285" s="4" t="e">
        <f>VLOOKUP(H1285,Stock_list!A:Y,25,FALSE)</f>
        <v>#N/A</v>
      </c>
      <c r="Q1285" s="133"/>
      <c r="T1285" s="144"/>
      <c r="U1285" s="145" t="e">
        <f>VLOOKUP(H1285,Stock_list!A:N,14,FALSE)</f>
        <v>#N/A</v>
      </c>
    </row>
    <row r="1286" spans="1:21" ht="16.5" customHeight="1">
      <c r="A1286" s="159" t="s">
        <v>265</v>
      </c>
      <c r="B1286" s="114" t="str">
        <f>VLOOKUP(A1286,'Data pick slip'!B:F,5,FALSE)</f>
        <v>KHJ-MC400-00</v>
      </c>
      <c r="C1286" s="156">
        <v>109493</v>
      </c>
      <c r="F1286" s="157" t="s">
        <v>379</v>
      </c>
      <c r="H1286" s="138">
        <v>201</v>
      </c>
      <c r="I1286" s="139" t="e">
        <f>VLOOKUP(H1286,Stock_list!A:R,18,FALSE)</f>
        <v>#N/A</v>
      </c>
      <c r="J1286" s="139" t="e">
        <f>VLOOKUP(H1286,Stock_list!A:S,17,FALSE)</f>
        <v>#N/A</v>
      </c>
      <c r="K1286" s="51" t="e">
        <f>VLOOKUP(H1286,Stock_list!A:T,16,FALSE)</f>
        <v>#N/A</v>
      </c>
      <c r="L1286" s="4">
        <v>43628</v>
      </c>
      <c r="M1286" s="132">
        <v>3</v>
      </c>
      <c r="P1286" s="4" t="e">
        <f>VLOOKUP(H1286,Stock_list!A:Y,25,FALSE)</f>
        <v>#N/A</v>
      </c>
      <c r="Q1286" s="133"/>
      <c r="T1286" s="144"/>
      <c r="U1286" s="145" t="e">
        <f>VLOOKUP(H1286,Stock_list!A:N,14,FALSE)</f>
        <v>#N/A</v>
      </c>
    </row>
    <row r="1287" spans="1:21" ht="16.5" customHeight="1">
      <c r="A1287" s="159" t="s">
        <v>266</v>
      </c>
      <c r="B1287" s="114" t="str">
        <f>VLOOKUP(A1287,'Data pick slip'!B:F,5,FALSE)</f>
        <v>KHJ-MC500-00</v>
      </c>
      <c r="C1287" s="156">
        <v>109493</v>
      </c>
      <c r="F1287" s="157" t="s">
        <v>379</v>
      </c>
      <c r="H1287" s="138">
        <v>201</v>
      </c>
      <c r="I1287" s="139" t="e">
        <f>VLOOKUP(H1287,Stock_list!A:R,18,FALSE)</f>
        <v>#N/A</v>
      </c>
      <c r="J1287" s="139" t="e">
        <f>VLOOKUP(H1287,Stock_list!A:S,17,FALSE)</f>
        <v>#N/A</v>
      </c>
      <c r="K1287" s="51" t="e">
        <f>VLOOKUP(H1287,Stock_list!A:T,16,FALSE)</f>
        <v>#N/A</v>
      </c>
      <c r="L1287" s="4">
        <v>43628</v>
      </c>
      <c r="M1287" s="132">
        <v>1</v>
      </c>
      <c r="P1287" s="4" t="e">
        <f>VLOOKUP(H1287,Stock_list!A:Y,25,FALSE)</f>
        <v>#N/A</v>
      </c>
      <c r="Q1287" s="133"/>
      <c r="T1287" s="144"/>
      <c r="U1287" s="145" t="e">
        <f>VLOOKUP(H1287,Stock_list!A:N,14,FALSE)</f>
        <v>#N/A</v>
      </c>
    </row>
    <row r="1288" spans="1:21" ht="16.5" customHeight="1">
      <c r="A1288" s="159" t="s">
        <v>261</v>
      </c>
      <c r="B1288" s="114" t="str">
        <f>VLOOKUP(A1288,'Data pick slip'!B:F,5,FALSE)</f>
        <v>KHJ-MC100-00</v>
      </c>
      <c r="F1288" s="157" t="s">
        <v>290</v>
      </c>
      <c r="H1288" s="138">
        <v>208</v>
      </c>
      <c r="I1288" s="139" t="e">
        <f>VLOOKUP(H1288,Stock_list!A:R,18,FALSE)</f>
        <v>#N/A</v>
      </c>
      <c r="J1288" s="139" t="e">
        <f>VLOOKUP(H1288,Stock_list!A:S,17,FALSE)</f>
        <v>#N/A</v>
      </c>
      <c r="K1288" s="51" t="e">
        <f>VLOOKUP(H1288,Stock_list!A:T,16,FALSE)</f>
        <v>#N/A</v>
      </c>
      <c r="L1288" s="4"/>
      <c r="M1288" s="132">
        <v>40</v>
      </c>
      <c r="P1288" s="4" t="e">
        <f>VLOOKUP(H1288,Stock_list!A:Y,25,FALSE)</f>
        <v>#N/A</v>
      </c>
      <c r="Q1288" s="143"/>
      <c r="T1288" s="144"/>
      <c r="U1288" s="145" t="e">
        <f>VLOOKUP(H1288,Stock_list!A:N,14,FALSE)</f>
        <v>#N/A</v>
      </c>
    </row>
    <row r="1289" spans="1:21" ht="16.5" customHeight="1">
      <c r="A1289" s="159" t="s">
        <v>264</v>
      </c>
      <c r="B1289" s="114" t="str">
        <f>VLOOKUP(A1289,'Data pick slip'!B:F,5,FALSE)</f>
        <v>KHJ-MC200-00</v>
      </c>
      <c r="F1289" s="157" t="s">
        <v>290</v>
      </c>
      <c r="H1289" s="138">
        <v>208</v>
      </c>
      <c r="I1289" s="139" t="e">
        <f>VLOOKUP(H1289,Stock_list!A:R,18,FALSE)</f>
        <v>#N/A</v>
      </c>
      <c r="J1289" s="139" t="e">
        <f>VLOOKUP(H1289,Stock_list!A:S,17,FALSE)</f>
        <v>#N/A</v>
      </c>
      <c r="K1289" s="51" t="e">
        <f>VLOOKUP(H1289,Stock_list!A:T,16,FALSE)</f>
        <v>#N/A</v>
      </c>
      <c r="L1289" s="291" t="s">
        <v>526</v>
      </c>
      <c r="M1289" s="132">
        <v>5</v>
      </c>
      <c r="P1289" s="4" t="e">
        <f>VLOOKUP(H1289,Stock_list!A:Y,25,FALSE)</f>
        <v>#N/A</v>
      </c>
      <c r="Q1289" s="143"/>
      <c r="T1289" s="144"/>
      <c r="U1289" s="145" t="e">
        <f>VLOOKUP(H1289,Stock_list!A:N,14,FALSE)</f>
        <v>#N/A</v>
      </c>
    </row>
    <row r="1290" spans="1:21" ht="16.5" customHeight="1">
      <c r="A1290" s="159" t="s">
        <v>265</v>
      </c>
      <c r="B1290" s="114" t="str">
        <f>VLOOKUP(A1290,'Data pick slip'!B:F,5,FALSE)</f>
        <v>KHJ-MC400-00</v>
      </c>
      <c r="F1290" s="157" t="s">
        <v>290</v>
      </c>
      <c r="H1290" s="138">
        <v>208</v>
      </c>
      <c r="I1290" s="139" t="e">
        <f>VLOOKUP(H1290,Stock_list!A:R,18,FALSE)</f>
        <v>#N/A</v>
      </c>
      <c r="J1290" s="139" t="e">
        <f>VLOOKUP(H1290,Stock_list!A:S,17,FALSE)</f>
        <v>#N/A</v>
      </c>
      <c r="K1290" s="51" t="e">
        <f>VLOOKUP(H1290,Stock_list!A:T,16,FALSE)</f>
        <v>#N/A</v>
      </c>
      <c r="L1290" s="4" t="s">
        <v>532</v>
      </c>
      <c r="M1290" s="132">
        <v>1</v>
      </c>
      <c r="P1290" s="4" t="e">
        <f>VLOOKUP(H1290,Stock_list!A:Y,25,FALSE)</f>
        <v>#N/A</v>
      </c>
      <c r="Q1290" s="143"/>
      <c r="T1290" s="144"/>
      <c r="U1290" s="145" t="e">
        <f>VLOOKUP(H1290,Stock_list!A:N,14,FALSE)</f>
        <v>#N/A</v>
      </c>
    </row>
    <row r="1291" spans="1:21" ht="27" customHeight="1">
      <c r="A1291" s="159" t="s">
        <v>261</v>
      </c>
      <c r="B1291" s="114" t="str">
        <f>VLOOKUP(A1291,'Data pick slip'!B:F,5,FALSE)</f>
        <v>KHJ-MC100-00</v>
      </c>
      <c r="F1291" s="157" t="s">
        <v>290</v>
      </c>
      <c r="H1291" s="138">
        <v>209</v>
      </c>
      <c r="I1291" s="139" t="e">
        <f>VLOOKUP(H1291,Stock_list!A:R,18,FALSE)</f>
        <v>#N/A</v>
      </c>
      <c r="J1291" s="139" t="e">
        <f>VLOOKUP(H1291,Stock_list!A:S,17,FALSE)</f>
        <v>#N/A</v>
      </c>
      <c r="K1291" s="51" t="e">
        <f>VLOOKUP(H1291,Stock_list!A:T,16,FALSE)</f>
        <v>#N/A</v>
      </c>
      <c r="L1291" s="4"/>
      <c r="M1291" s="132">
        <v>60</v>
      </c>
      <c r="P1291" s="4" t="e">
        <f>VLOOKUP(H1291,Stock_list!A:Y,25,FALSE)</f>
        <v>#N/A</v>
      </c>
      <c r="Q1291" s="143"/>
      <c r="T1291" s="144"/>
      <c r="U1291" s="145" t="e">
        <f>VLOOKUP(H1291,Stock_list!A:N,14,FALSE)</f>
        <v>#N/A</v>
      </c>
    </row>
    <row r="1292" spans="1:21" ht="16.5" customHeight="1">
      <c r="A1292" s="159" t="s">
        <v>261</v>
      </c>
      <c r="B1292" s="114" t="str">
        <f>VLOOKUP(A1292,'Data pick slip'!B:F,5,FALSE)</f>
        <v>KHJ-MC100-00</v>
      </c>
      <c r="F1292" s="157" t="s">
        <v>290</v>
      </c>
      <c r="H1292" s="138">
        <v>211</v>
      </c>
      <c r="I1292" s="139" t="e">
        <f>VLOOKUP(H1292,Stock_list!A:R,18,FALSE)</f>
        <v>#N/A</v>
      </c>
      <c r="J1292" s="139" t="e">
        <f>VLOOKUP(H1292,Stock_list!A:S,17,FALSE)</f>
        <v>#N/A</v>
      </c>
      <c r="K1292" s="51" t="e">
        <f>VLOOKUP(H1292,Stock_list!A:T,16,FALSE)</f>
        <v>#N/A</v>
      </c>
      <c r="L1292" s="4"/>
      <c r="M1292" s="132">
        <v>40</v>
      </c>
      <c r="P1292" s="4" t="e">
        <f>VLOOKUP(H1292,Stock_list!A:Y,25,FALSE)</f>
        <v>#N/A</v>
      </c>
      <c r="Q1292" s="143"/>
      <c r="T1292" s="144"/>
      <c r="U1292" s="145" t="e">
        <f>VLOOKUP(H1292,Stock_list!A:N,14,FALSE)</f>
        <v>#N/A</v>
      </c>
    </row>
    <row r="1293" spans="1:21" ht="16.5" customHeight="1">
      <c r="A1293" s="159" t="s">
        <v>264</v>
      </c>
      <c r="B1293" s="114" t="str">
        <f>VLOOKUP(A1293,'Data pick slip'!B:F,5,FALSE)</f>
        <v>KHJ-MC200-00</v>
      </c>
      <c r="F1293" s="157" t="s">
        <v>290</v>
      </c>
      <c r="H1293" s="138">
        <v>211</v>
      </c>
      <c r="I1293" s="139" t="e">
        <f>VLOOKUP(H1293,Stock_list!A:R,18,FALSE)</f>
        <v>#N/A</v>
      </c>
      <c r="J1293" s="139" t="e">
        <f>VLOOKUP(H1293,Stock_list!A:S,17,FALSE)</f>
        <v>#N/A</v>
      </c>
      <c r="K1293" s="51" t="e">
        <f>VLOOKUP(H1293,Stock_list!A:T,16,FALSE)</f>
        <v>#N/A</v>
      </c>
      <c r="L1293" s="291" t="s">
        <v>526</v>
      </c>
      <c r="M1293" s="132">
        <v>5</v>
      </c>
      <c r="P1293" s="4" t="e">
        <f>VLOOKUP(H1293,Stock_list!A:Y,25,FALSE)</f>
        <v>#N/A</v>
      </c>
      <c r="Q1293" s="143"/>
      <c r="T1293" s="144"/>
      <c r="U1293" s="145" t="e">
        <f>VLOOKUP(H1293,Stock_list!A:N,14,FALSE)</f>
        <v>#N/A</v>
      </c>
    </row>
    <row r="1294" spans="1:21" ht="16.5" customHeight="1">
      <c r="A1294" s="159" t="s">
        <v>265</v>
      </c>
      <c r="B1294" s="114" t="str">
        <f>VLOOKUP(A1294,'Data pick slip'!B:F,5,FALSE)</f>
        <v>KHJ-MC400-00</v>
      </c>
      <c r="F1294" s="157" t="s">
        <v>290</v>
      </c>
      <c r="H1294" s="138">
        <v>211</v>
      </c>
      <c r="I1294" s="139" t="e">
        <f>VLOOKUP(H1294,Stock_list!A:R,18,FALSE)</f>
        <v>#N/A</v>
      </c>
      <c r="J1294" s="139" t="e">
        <f>VLOOKUP(H1294,Stock_list!A:S,17,FALSE)</f>
        <v>#N/A</v>
      </c>
      <c r="K1294" s="51" t="e">
        <f>VLOOKUP(H1294,Stock_list!A:T,16,FALSE)</f>
        <v>#N/A</v>
      </c>
      <c r="L1294" s="4" t="s">
        <v>532</v>
      </c>
      <c r="M1294" s="132">
        <v>1</v>
      </c>
      <c r="P1294" s="4" t="e">
        <f>VLOOKUP(H1294,Stock_list!A:Y,25,FALSE)</f>
        <v>#N/A</v>
      </c>
      <c r="Q1294" s="143"/>
      <c r="T1294" s="144"/>
      <c r="U1294" s="145" t="e">
        <f>VLOOKUP(H1294,Stock_list!A:N,14,FALSE)</f>
        <v>#N/A</v>
      </c>
    </row>
    <row r="1295" spans="1:21" ht="16.5" customHeight="1">
      <c r="A1295" s="159" t="s">
        <v>261</v>
      </c>
      <c r="B1295" s="114" t="str">
        <f>VLOOKUP(A1295,'Data pick slip'!B:F,5,FALSE)</f>
        <v>KHJ-MC100-00</v>
      </c>
      <c r="C1295" s="156">
        <v>109344</v>
      </c>
      <c r="F1295" s="157" t="s">
        <v>379</v>
      </c>
      <c r="H1295" s="138">
        <v>212</v>
      </c>
      <c r="I1295" s="139" t="e">
        <f>VLOOKUP(H1295,Stock_list!A:R,18,FALSE)</f>
        <v>#N/A</v>
      </c>
      <c r="J1295" s="139" t="e">
        <f>VLOOKUP(H1295,Stock_list!A:S,17,FALSE)</f>
        <v>#N/A</v>
      </c>
      <c r="K1295" s="51" t="e">
        <f>VLOOKUP(H1295,Stock_list!A:T,16,FALSE)</f>
        <v>#N/A</v>
      </c>
      <c r="L1295" s="4"/>
      <c r="M1295" s="132">
        <v>40</v>
      </c>
      <c r="P1295" s="4" t="e">
        <f>VLOOKUP(H1295,Stock_list!A:Y,25,FALSE)</f>
        <v>#N/A</v>
      </c>
      <c r="Q1295" s="143"/>
      <c r="T1295" s="144"/>
      <c r="U1295" s="145" t="e">
        <f>VLOOKUP(H1295,Stock_list!A:N,14,FALSE)</f>
        <v>#N/A</v>
      </c>
    </row>
    <row r="1296" spans="1:21" ht="16.5" customHeight="1">
      <c r="A1296" s="159" t="s">
        <v>264</v>
      </c>
      <c r="B1296" s="114" t="str">
        <f>VLOOKUP(A1296,'Data pick slip'!B:F,5,FALSE)</f>
        <v>KHJ-MC200-00</v>
      </c>
      <c r="C1296" s="156">
        <v>109344</v>
      </c>
      <c r="F1296" s="157" t="s">
        <v>379</v>
      </c>
      <c r="H1296" s="138">
        <v>212</v>
      </c>
      <c r="I1296" s="139" t="e">
        <f>VLOOKUP(H1296,Stock_list!A:R,18,FALSE)</f>
        <v>#N/A</v>
      </c>
      <c r="J1296" s="139" t="e">
        <f>VLOOKUP(H1296,Stock_list!A:S,17,FALSE)</f>
        <v>#N/A</v>
      </c>
      <c r="K1296" s="51" t="e">
        <f>VLOOKUP(H1296,Stock_list!A:T,16,FALSE)</f>
        <v>#N/A</v>
      </c>
      <c r="L1296" s="4">
        <v>43529</v>
      </c>
      <c r="M1296" s="132">
        <v>10</v>
      </c>
      <c r="P1296" s="4" t="e">
        <f>VLOOKUP(H1296,Stock_list!A:Y,25,FALSE)</f>
        <v>#N/A</v>
      </c>
      <c r="Q1296" s="143"/>
      <c r="T1296" s="144"/>
      <c r="U1296" s="145" t="e">
        <f>VLOOKUP(H1296,Stock_list!A:N,14,FALSE)</f>
        <v>#N/A</v>
      </c>
    </row>
    <row r="1297" spans="1:21" ht="16.5" customHeight="1">
      <c r="A1297" s="159" t="s">
        <v>265</v>
      </c>
      <c r="B1297" s="114" t="str">
        <f>VLOOKUP(A1297,'Data pick slip'!B:F,5,FALSE)</f>
        <v>KHJ-MC400-00</v>
      </c>
      <c r="C1297" s="156">
        <v>109493</v>
      </c>
      <c r="F1297" s="157" t="s">
        <v>379</v>
      </c>
      <c r="H1297" s="138">
        <v>212</v>
      </c>
      <c r="I1297" s="139" t="e">
        <f>VLOOKUP(H1297,Stock_list!A:R,18,FALSE)</f>
        <v>#N/A</v>
      </c>
      <c r="J1297" s="139" t="e">
        <f>VLOOKUP(H1297,Stock_list!A:S,17,FALSE)</f>
        <v>#N/A</v>
      </c>
      <c r="K1297" s="51" t="e">
        <f>VLOOKUP(H1297,Stock_list!A:T,16,FALSE)</f>
        <v>#N/A</v>
      </c>
      <c r="L1297" s="4"/>
      <c r="M1297" s="132">
        <v>4</v>
      </c>
      <c r="P1297" s="4" t="e">
        <f>VLOOKUP(H1297,Stock_list!A:Y,25,FALSE)</f>
        <v>#N/A</v>
      </c>
      <c r="Q1297" s="143"/>
      <c r="T1297" s="144"/>
      <c r="U1297" s="145" t="e">
        <f>VLOOKUP(H1297,Stock_list!A:N,14,FALSE)</f>
        <v>#N/A</v>
      </c>
    </row>
    <row r="1298" spans="1:21" ht="16.5" customHeight="1">
      <c r="A1298" s="159" t="s">
        <v>272</v>
      </c>
      <c r="B1298" s="114" t="str">
        <f>VLOOKUP(A1298,'Data pick slip'!B:F,5,FALSE)</f>
        <v>KLJ-MC100-00</v>
      </c>
      <c r="F1298" s="157" t="s">
        <v>290</v>
      </c>
      <c r="H1298" s="138">
        <v>212</v>
      </c>
      <c r="I1298" s="139" t="e">
        <f>VLOOKUP(H1298,Stock_list!A:R,18,FALSE)</f>
        <v>#N/A</v>
      </c>
      <c r="J1298" s="139" t="e">
        <f>VLOOKUP(H1298,Stock_list!A:S,17,FALSE)</f>
        <v>#N/A</v>
      </c>
      <c r="K1298" s="51" t="e">
        <f>VLOOKUP(H1298,Stock_list!A:T,16,FALSE)</f>
        <v>#N/A</v>
      </c>
      <c r="L1298" s="4"/>
      <c r="M1298" s="132">
        <v>7</v>
      </c>
      <c r="P1298" s="4" t="e">
        <f>VLOOKUP(H1298,Stock_list!A:Y,25,FALSE)</f>
        <v>#N/A</v>
      </c>
      <c r="Q1298" s="143"/>
      <c r="S1298" s="123" t="s">
        <v>521</v>
      </c>
      <c r="T1298" s="205" t="s">
        <v>565</v>
      </c>
      <c r="U1298" s="145" t="e">
        <f>VLOOKUP(H1298,Stock_list!A:N,14,FALSE)</f>
        <v>#N/A</v>
      </c>
    </row>
    <row r="1299" spans="1:21" ht="16.5" customHeight="1">
      <c r="A1299" s="159" t="s">
        <v>261</v>
      </c>
      <c r="B1299" s="114" t="str">
        <f>VLOOKUP(A1299,'Data pick slip'!B:F,5,FALSE)</f>
        <v>KHJ-MC100-00</v>
      </c>
      <c r="F1299" s="157" t="s">
        <v>379</v>
      </c>
      <c r="H1299" s="138">
        <v>222</v>
      </c>
      <c r="I1299" s="139" t="e">
        <f>VLOOKUP(H1299,Stock_list!A:R,18,FALSE)</f>
        <v>#N/A</v>
      </c>
      <c r="J1299" s="139" t="e">
        <f>VLOOKUP(H1299,Stock_list!A:S,17,FALSE)</f>
        <v>#N/A</v>
      </c>
      <c r="K1299" s="51" t="e">
        <f>VLOOKUP(H1299,Stock_list!A:T,16,FALSE)</f>
        <v>#N/A</v>
      </c>
      <c r="L1299" s="4">
        <v>43490</v>
      </c>
      <c r="M1299" s="132">
        <v>20</v>
      </c>
      <c r="P1299" s="4" t="e">
        <f>VLOOKUP(H1299,Stock_list!A:Y,25,FALSE)</f>
        <v>#N/A</v>
      </c>
      <c r="Q1299" s="143"/>
      <c r="T1299" s="144"/>
      <c r="U1299" s="145" t="e">
        <f>VLOOKUP(H1299,Stock_list!A:N,14,FALSE)</f>
        <v>#N/A</v>
      </c>
    </row>
    <row r="1300" spans="1:21" ht="16.5" customHeight="1">
      <c r="A1300" s="159" t="s">
        <v>264</v>
      </c>
      <c r="B1300" s="114" t="str">
        <f>VLOOKUP(A1300,'Data pick slip'!B:F,5,FALSE)</f>
        <v>KHJ-MC200-00</v>
      </c>
      <c r="F1300" s="157" t="s">
        <v>379</v>
      </c>
      <c r="H1300" s="138">
        <v>222</v>
      </c>
      <c r="I1300" s="139" t="e">
        <f>VLOOKUP(H1300,Stock_list!A:R,18,FALSE)</f>
        <v>#N/A</v>
      </c>
      <c r="J1300" s="139" t="e">
        <f>VLOOKUP(H1300,Stock_list!A:S,17,FALSE)</f>
        <v>#N/A</v>
      </c>
      <c r="K1300" s="51" t="e">
        <f>VLOOKUP(H1300,Stock_list!A:T,16,FALSE)</f>
        <v>#N/A</v>
      </c>
      <c r="L1300" s="4">
        <v>43490</v>
      </c>
      <c r="M1300" s="132">
        <v>10</v>
      </c>
      <c r="P1300" s="4" t="e">
        <f>VLOOKUP(H1300,Stock_list!A:Y,25,FALSE)</f>
        <v>#N/A</v>
      </c>
      <c r="Q1300" s="143"/>
      <c r="T1300" s="144"/>
      <c r="U1300" s="145" t="e">
        <f>VLOOKUP(H1300,Stock_list!A:N,14,FALSE)</f>
        <v>#N/A</v>
      </c>
    </row>
    <row r="1301" spans="1:21" ht="16.5" customHeight="1">
      <c r="A1301" s="159" t="s">
        <v>265</v>
      </c>
      <c r="B1301" s="114" t="str">
        <f>VLOOKUP(A1301,'Data pick slip'!B:F,5,FALSE)</f>
        <v>KHJ-MC400-00</v>
      </c>
      <c r="F1301" s="157" t="s">
        <v>379</v>
      </c>
      <c r="H1301" s="138">
        <v>222</v>
      </c>
      <c r="I1301" s="139" t="e">
        <f>VLOOKUP(H1301,Stock_list!A:R,18,FALSE)</f>
        <v>#N/A</v>
      </c>
      <c r="J1301" s="139" t="e">
        <f>VLOOKUP(H1301,Stock_list!A:S,17,FALSE)</f>
        <v>#N/A</v>
      </c>
      <c r="K1301" s="51" t="e">
        <f>VLOOKUP(H1301,Stock_list!A:T,16,FALSE)</f>
        <v>#N/A</v>
      </c>
      <c r="L1301" s="4">
        <v>43490</v>
      </c>
      <c r="M1301" s="132">
        <v>3</v>
      </c>
      <c r="P1301" s="4" t="e">
        <f>VLOOKUP(H1301,Stock_list!A:Y,25,FALSE)</f>
        <v>#N/A</v>
      </c>
      <c r="Q1301" s="143"/>
      <c r="T1301" s="144"/>
      <c r="U1301" s="145" t="e">
        <f>VLOOKUP(H1301,Stock_list!A:N,14,FALSE)</f>
        <v>#N/A</v>
      </c>
    </row>
    <row r="1302" spans="1:21" ht="16.5" customHeight="1">
      <c r="A1302" s="159" t="s">
        <v>272</v>
      </c>
      <c r="B1302" s="114" t="str">
        <f>VLOOKUP(A1302,'Data pick slip'!B:F,5,FALSE)</f>
        <v>KLJ-MC100-00</v>
      </c>
      <c r="F1302" s="157" t="s">
        <v>290</v>
      </c>
      <c r="H1302" s="138">
        <v>222</v>
      </c>
      <c r="I1302" s="139" t="e">
        <f>VLOOKUP(H1302,Stock_list!A:R,18,FALSE)</f>
        <v>#N/A</v>
      </c>
      <c r="J1302" s="139" t="e">
        <f>VLOOKUP(H1302,Stock_list!A:S,17,FALSE)</f>
        <v>#N/A</v>
      </c>
      <c r="K1302" s="51" t="e">
        <f>VLOOKUP(H1302,Stock_list!A:T,16,FALSE)</f>
        <v>#N/A</v>
      </c>
      <c r="L1302" s="4">
        <v>43490</v>
      </c>
      <c r="M1302" s="132">
        <v>10</v>
      </c>
      <c r="P1302" s="4" t="e">
        <f>VLOOKUP(H1302,Stock_list!A:Y,25,FALSE)</f>
        <v>#N/A</v>
      </c>
      <c r="Q1302" s="143"/>
      <c r="S1302" s="123" t="s">
        <v>521</v>
      </c>
      <c r="T1302" s="144" t="s">
        <v>554</v>
      </c>
      <c r="U1302" s="145" t="e">
        <f>VLOOKUP(H1302,Stock_list!A:N,14,FALSE)</f>
        <v>#N/A</v>
      </c>
    </row>
    <row r="1303" spans="1:21" ht="16.5" customHeight="1">
      <c r="A1303" s="159" t="s">
        <v>261</v>
      </c>
      <c r="B1303" s="114" t="str">
        <f>VLOOKUP(A1303,'Data pick slip'!B:F,5,FALSE)</f>
        <v>KHJ-MC100-00</v>
      </c>
      <c r="F1303" s="157" t="s">
        <v>379</v>
      </c>
      <c r="I1303" s="139" t="s">
        <v>533</v>
      </c>
      <c r="J1303" s="139" t="s">
        <v>566</v>
      </c>
      <c r="K1303" s="51" t="s">
        <v>225</v>
      </c>
      <c r="L1303" s="4">
        <v>43490</v>
      </c>
      <c r="M1303" s="132">
        <v>260</v>
      </c>
      <c r="P1303" s="4" t="s">
        <v>214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264</v>
      </c>
      <c r="B1304" s="114" t="str">
        <f>VLOOKUP(A1304,'Data pick slip'!B:F,5,FALSE)</f>
        <v>KHJ-MC200-00</v>
      </c>
      <c r="F1304" s="157" t="s">
        <v>379</v>
      </c>
      <c r="I1304" s="139" t="s">
        <v>533</v>
      </c>
      <c r="J1304" s="139" t="s">
        <v>566</v>
      </c>
      <c r="K1304" s="51" t="s">
        <v>225</v>
      </c>
      <c r="L1304" s="4">
        <v>43490</v>
      </c>
      <c r="M1304" s="132">
        <v>30</v>
      </c>
      <c r="P1304" s="4" t="s">
        <v>214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265</v>
      </c>
      <c r="B1305" s="114" t="str">
        <f>VLOOKUP(A1305,'Data pick slip'!B:F,5,FALSE)</f>
        <v>KHJ-MC400-00</v>
      </c>
      <c r="F1305" s="157" t="s">
        <v>379</v>
      </c>
      <c r="I1305" s="139" t="s">
        <v>533</v>
      </c>
      <c r="J1305" s="139" t="s">
        <v>566</v>
      </c>
      <c r="K1305" s="51" t="s">
        <v>225</v>
      </c>
      <c r="L1305" s="4"/>
      <c r="M1305" s="132">
        <v>20</v>
      </c>
      <c r="P1305" s="4" t="s">
        <v>214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273</v>
      </c>
      <c r="B1306" s="114" t="str">
        <f>VLOOKUP(A1306,'Data pick slip'!B:F,5,FALSE)</f>
        <v>KLJ-MC200-00</v>
      </c>
      <c r="F1306" s="157" t="s">
        <v>379</v>
      </c>
      <c r="I1306" s="139" t="s">
        <v>533</v>
      </c>
      <c r="J1306" s="139" t="s">
        <v>566</v>
      </c>
      <c r="K1306" s="51" t="s">
        <v>225</v>
      </c>
      <c r="L1306" s="4"/>
      <c r="M1306" s="132">
        <v>20</v>
      </c>
      <c r="P1306" s="4" t="s">
        <v>214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272</v>
      </c>
      <c r="B1307" s="114" t="str">
        <f>VLOOKUP(A1307,'Data pick slip'!B:F,5,FALSE)</f>
        <v>KLJ-MC100-00</v>
      </c>
      <c r="F1307" s="157" t="s">
        <v>379</v>
      </c>
      <c r="H1307" s="138">
        <v>227</v>
      </c>
      <c r="I1307" s="139" t="e">
        <f>VLOOKUP(H1307,Stock_list!A:R,18,FALSE)</f>
        <v>#N/A</v>
      </c>
      <c r="J1307" s="139" t="e">
        <f>VLOOKUP(H1307,Stock_list!A:S,17,FALSE)</f>
        <v>#N/A</v>
      </c>
      <c r="K1307" s="51" t="e">
        <f>VLOOKUP(H1307,Stock_list!A:T,16,FALSE)</f>
        <v>#N/A</v>
      </c>
      <c r="L1307" s="4"/>
      <c r="M1307" s="132">
        <v>60</v>
      </c>
      <c r="P1307" s="4" t="e">
        <f>VLOOKUP(H1307,Stock_list!A:Y,25,FALSE)</f>
        <v>#N/A</v>
      </c>
      <c r="Q1307" s="143"/>
      <c r="T1307" s="144"/>
      <c r="U1307" s="145" t="e">
        <f>VLOOKUP(H1307,Stock_list!A:N,14,FALSE)</f>
        <v>#N/A</v>
      </c>
    </row>
    <row r="1308" spans="1:21" ht="16.5" customHeight="1">
      <c r="A1308" s="159" t="s">
        <v>261</v>
      </c>
      <c r="B1308" s="114" t="str">
        <f>VLOOKUP(A1308,'Data pick slip'!B:F,5,FALSE)</f>
        <v>KHJ-MC100-00</v>
      </c>
      <c r="F1308" s="157" t="s">
        <v>290</v>
      </c>
      <c r="I1308" s="139" t="s">
        <v>371</v>
      </c>
      <c r="J1308" s="141" t="s">
        <v>567</v>
      </c>
      <c r="K1308" s="51" t="s">
        <v>225</v>
      </c>
      <c r="L1308" s="4"/>
      <c r="M1308" s="132">
        <v>6</v>
      </c>
      <c r="P1308" s="4" t="s">
        <v>214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264</v>
      </c>
      <c r="B1309" s="114" t="str">
        <f>VLOOKUP(A1309,'Data pick slip'!B:F,5,FALSE)</f>
        <v>KHJ-MC200-00</v>
      </c>
      <c r="F1309" s="157" t="s">
        <v>379</v>
      </c>
      <c r="I1309" s="139" t="s">
        <v>533</v>
      </c>
      <c r="J1309" s="139" t="s">
        <v>568</v>
      </c>
      <c r="K1309" s="51" t="s">
        <v>225</v>
      </c>
      <c r="L1309" s="4">
        <v>43521</v>
      </c>
      <c r="M1309" s="132">
        <v>30</v>
      </c>
      <c r="P1309" s="4" t="s">
        <v>214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265</v>
      </c>
      <c r="B1310" s="114" t="str">
        <f>VLOOKUP(A1310,'Data pick slip'!B:F,5,FALSE)</f>
        <v>KHJ-MC400-00</v>
      </c>
      <c r="F1310" s="157" t="s">
        <v>379</v>
      </c>
      <c r="I1310" s="139" t="s">
        <v>533</v>
      </c>
      <c r="J1310" s="139" t="s">
        <v>568</v>
      </c>
      <c r="K1310" s="51" t="s">
        <v>225</v>
      </c>
      <c r="L1310" s="4">
        <v>43521</v>
      </c>
      <c r="M1310" s="132">
        <v>10</v>
      </c>
      <c r="P1310" s="4" t="s">
        <v>214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264</v>
      </c>
      <c r="B1311" s="114" t="str">
        <f>VLOOKUP(A1311,'Data pick slip'!B:F,5,FALSE)</f>
        <v>KHJ-MC200-00</v>
      </c>
      <c r="F1311" s="157" t="s">
        <v>290</v>
      </c>
      <c r="I1311" s="139" t="s">
        <v>371</v>
      </c>
      <c r="J1311" s="141" t="s">
        <v>567</v>
      </c>
      <c r="K1311" s="51" t="s">
        <v>225</v>
      </c>
      <c r="L1311" s="4" t="s">
        <v>542</v>
      </c>
      <c r="M1311" s="132">
        <v>3</v>
      </c>
      <c r="P1311" s="4" t="s">
        <v>214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261</v>
      </c>
      <c r="B1312" s="114" t="str">
        <f>VLOOKUP(A1312,'Data pick slip'!B:F,5,FALSE)</f>
        <v>KHJ-MC100-00</v>
      </c>
      <c r="F1312" s="157" t="s">
        <v>290</v>
      </c>
      <c r="I1312" s="139" t="s">
        <v>371</v>
      </c>
      <c r="J1312" s="139" t="s">
        <v>569</v>
      </c>
      <c r="K1312" s="51" t="s">
        <v>225</v>
      </c>
      <c r="L1312" s="4"/>
      <c r="M1312" s="132">
        <v>30</v>
      </c>
      <c r="P1312" s="4" t="s">
        <v>214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264</v>
      </c>
      <c r="B1313" s="114" t="str">
        <f>VLOOKUP(A1313,'Data pick slip'!B:F,5,FALSE)</f>
        <v>KHJ-MC200-00</v>
      </c>
      <c r="F1313" s="157" t="s">
        <v>290</v>
      </c>
      <c r="I1313" s="139" t="s">
        <v>371</v>
      </c>
      <c r="J1313" s="139" t="s">
        <v>569</v>
      </c>
      <c r="K1313" s="51" t="s">
        <v>225</v>
      </c>
      <c r="L1313" s="4" t="s">
        <v>542</v>
      </c>
      <c r="M1313" s="132">
        <v>20</v>
      </c>
      <c r="P1313" s="4" t="s">
        <v>214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265</v>
      </c>
      <c r="B1314" s="114" t="str">
        <f>VLOOKUP(A1314,'Data pick slip'!B:F,5,FALSE)</f>
        <v>KHJ-MC400-00</v>
      </c>
      <c r="F1314" s="157" t="s">
        <v>290</v>
      </c>
      <c r="I1314" s="139" t="s">
        <v>371</v>
      </c>
      <c r="J1314" s="139" t="s">
        <v>569</v>
      </c>
      <c r="K1314" s="51" t="s">
        <v>225</v>
      </c>
      <c r="L1314" s="4" t="s">
        <v>532</v>
      </c>
      <c r="M1314" s="132">
        <v>6</v>
      </c>
      <c r="P1314" s="4" t="s">
        <v>214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266</v>
      </c>
      <c r="B1315" s="114" t="str">
        <f>VLOOKUP(A1315,'Data pick slip'!B:F,5,FALSE)</f>
        <v>KHJ-MC500-00</v>
      </c>
      <c r="F1315" s="157" t="s">
        <v>290</v>
      </c>
      <c r="I1315" s="139" t="s">
        <v>371</v>
      </c>
      <c r="J1315" s="139" t="s">
        <v>569</v>
      </c>
      <c r="K1315" s="51" t="s">
        <v>22</v>
      </c>
      <c r="L1315" s="4"/>
      <c r="M1315" s="132">
        <v>1</v>
      </c>
      <c r="P1315" s="4" t="s">
        <v>214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272</v>
      </c>
      <c r="B1316" s="114" t="str">
        <f>VLOOKUP(A1316,'Data pick slip'!B:F,5,FALSE)</f>
        <v>KLJ-MC100-00</v>
      </c>
      <c r="F1316" s="157" t="s">
        <v>379</v>
      </c>
      <c r="H1316" s="138">
        <v>187</v>
      </c>
      <c r="I1316" s="139" t="e">
        <f>VLOOKUP(H1316,Stock_list!A:R,18,FALSE)</f>
        <v>#N/A</v>
      </c>
      <c r="J1316" s="139" t="e">
        <f>VLOOKUP(H1316,Stock_list!A:S,17,FALSE)</f>
        <v>#N/A</v>
      </c>
      <c r="K1316" s="51" t="e">
        <f>VLOOKUP(H1316,Stock_list!A:T,16,FALSE)</f>
        <v>#N/A</v>
      </c>
      <c r="L1316" s="4"/>
      <c r="M1316" s="132">
        <v>30</v>
      </c>
      <c r="P1316" s="4" t="e">
        <f>VLOOKUP(H1316,Stock_list!A:Y,25,FALSE)</f>
        <v>#N/A</v>
      </c>
      <c r="Q1316" s="143"/>
      <c r="T1316" s="144"/>
      <c r="U1316" s="145" t="e">
        <f>VLOOKUP(H1316,Stock_list!A:N,14,FALSE)</f>
        <v>#N/A</v>
      </c>
    </row>
    <row r="1317" spans="1:21" ht="16.5" customHeight="1">
      <c r="A1317" s="159" t="s">
        <v>264</v>
      </c>
      <c r="B1317" s="114" t="str">
        <f>VLOOKUP(A1317,'Data pick slip'!B:F,5,FALSE)</f>
        <v>KHJ-MC200-00</v>
      </c>
      <c r="F1317" s="157" t="s">
        <v>379</v>
      </c>
      <c r="H1317" s="138">
        <v>187</v>
      </c>
      <c r="I1317" s="139" t="e">
        <f>VLOOKUP(H1317,Stock_list!A:R,18,FALSE)</f>
        <v>#N/A</v>
      </c>
      <c r="J1317" s="139" t="e">
        <f>VLOOKUP(H1317,Stock_list!A:S,17,FALSE)</f>
        <v>#N/A</v>
      </c>
      <c r="K1317" s="51" t="e">
        <f>VLOOKUP(H1317,Stock_list!A:T,16,FALSE)</f>
        <v>#N/A</v>
      </c>
      <c r="L1317" s="4">
        <v>43522</v>
      </c>
      <c r="M1317" s="132">
        <v>8</v>
      </c>
      <c r="P1317" s="4" t="e">
        <f>VLOOKUP(H1317,Stock_list!A:Y,25,FALSE)</f>
        <v>#N/A</v>
      </c>
      <c r="Q1317" s="143"/>
      <c r="T1317" s="144"/>
      <c r="U1317" s="145" t="e">
        <f>VLOOKUP(H1317,Stock_list!A:N,14,FALSE)</f>
        <v>#N/A</v>
      </c>
    </row>
    <row r="1318" spans="1:21" ht="16.5" customHeight="1">
      <c r="A1318" s="159" t="s">
        <v>272</v>
      </c>
      <c r="B1318" s="114" t="str">
        <f>VLOOKUP(A1318,'Data pick slip'!B:F,5,FALSE)</f>
        <v>KLJ-MC100-00</v>
      </c>
      <c r="F1318" s="157" t="s">
        <v>379</v>
      </c>
      <c r="H1318" s="138">
        <v>187</v>
      </c>
      <c r="I1318" s="139" t="e">
        <f>VLOOKUP(H1318,Stock_list!A:R,18,FALSE)</f>
        <v>#N/A</v>
      </c>
      <c r="J1318" s="139" t="e">
        <f>VLOOKUP(H1318,Stock_list!A:S,17,FALSE)</f>
        <v>#N/A</v>
      </c>
      <c r="K1318" s="51" t="e">
        <f>VLOOKUP(H1318,Stock_list!A:T,16,FALSE)</f>
        <v>#N/A</v>
      </c>
      <c r="L1318" s="4"/>
      <c r="M1318" s="132">
        <v>5</v>
      </c>
      <c r="P1318" s="4" t="e">
        <f>VLOOKUP(H1318,Stock_list!A:Y,25,FALSE)</f>
        <v>#N/A</v>
      </c>
      <c r="Q1318" s="143"/>
      <c r="T1318" s="144"/>
      <c r="U1318" s="145" t="e">
        <f>VLOOKUP(H1318,Stock_list!A:N,14,FALSE)</f>
        <v>#N/A</v>
      </c>
    </row>
    <row r="1319" spans="1:21" ht="27" customHeight="1">
      <c r="A1319" s="159" t="s">
        <v>273</v>
      </c>
      <c r="B1319" s="114" t="str">
        <f>VLOOKUP(A1319,'Data pick slip'!B:F,5,FALSE)</f>
        <v>KLJ-MC200-00</v>
      </c>
      <c r="F1319" s="157" t="s">
        <v>290</v>
      </c>
      <c r="I1319" s="139" t="s">
        <v>371</v>
      </c>
      <c r="J1319" s="139" t="s">
        <v>570</v>
      </c>
      <c r="K1319" s="51" t="s">
        <v>225</v>
      </c>
      <c r="L1319" s="4"/>
      <c r="M1319" s="132"/>
      <c r="O1319" s="132">
        <f>1-1</f>
        <v>0</v>
      </c>
      <c r="P1319" s="4" t="s">
        <v>571</v>
      </c>
      <c r="T1319" s="144"/>
      <c r="U1319" s="145" t="e">
        <f>VLOOKUP(H1319,Stock_list!A:N,14,FALSE)</f>
        <v>#N/A</v>
      </c>
    </row>
    <row r="1320" spans="1:21" ht="16.5" customHeight="1">
      <c r="A1320" s="159" t="s">
        <v>572</v>
      </c>
      <c r="B1320" s="114">
        <f>VLOOKUP(A1320,'Data pick slip'!B:F,5,FALSE)</f>
        <v>0</v>
      </c>
      <c r="H1320" s="138">
        <v>100</v>
      </c>
      <c r="I1320" s="139" t="e">
        <f>VLOOKUP(H1320,Stock_list!A:R,18,FALSE)</f>
        <v>#N/A</v>
      </c>
      <c r="J1320" s="139" t="e">
        <f>VLOOKUP(H1320,Stock_list!A:S,17,FALSE)</f>
        <v>#N/A</v>
      </c>
      <c r="K1320" s="51" t="e">
        <f>VLOOKUP(H1320,Stock_list!A:T,16,FALSE)</f>
        <v>#N/A</v>
      </c>
      <c r="L1320" s="4"/>
      <c r="M1320" s="132">
        <v>1</v>
      </c>
      <c r="P1320" s="4" t="e">
        <f>VLOOKUP(H1320,Stock_list!A:Y,25,FALSE)</f>
        <v>#N/A</v>
      </c>
      <c r="Q1320" s="143"/>
      <c r="S1320" s="123" t="s">
        <v>521</v>
      </c>
      <c r="T1320" s="205" t="s">
        <v>573</v>
      </c>
      <c r="U1320" s="145" t="e">
        <f>VLOOKUP(H1320,Stock_list!A:N,14,FALSE)</f>
        <v>#N/A</v>
      </c>
    </row>
    <row r="1321" spans="1:21" ht="16.5" customHeight="1">
      <c r="A1321" s="159" t="s">
        <v>574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e">
        <f>VLOOKUP(H1321,Stock_list!A:R,18,FALSE)</f>
        <v>#N/A</v>
      </c>
      <c r="J1321" s="139" t="e">
        <f>VLOOKUP(H1321,Stock_list!A:S,17,FALSE)</f>
        <v>#N/A</v>
      </c>
      <c r="K1321" s="51" t="e">
        <f>VLOOKUP(H1321,Stock_list!A:T,16,FALSE)</f>
        <v>#N/A</v>
      </c>
      <c r="L1321" s="4"/>
      <c r="M1321" s="132">
        <v>1</v>
      </c>
      <c r="P1321" s="4" t="e">
        <f>VLOOKUP(H1321,Stock_list!A:Y,25,FALSE)</f>
        <v>#N/A</v>
      </c>
      <c r="Q1321" s="143"/>
      <c r="S1321" s="123" t="s">
        <v>521</v>
      </c>
      <c r="T1321" s="205" t="s">
        <v>573</v>
      </c>
      <c r="U1321" s="145" t="e">
        <f>VLOOKUP(H1321,Stock_list!A:N,14,FALSE)</f>
        <v>#N/A</v>
      </c>
    </row>
    <row r="1322" spans="1:21" ht="16.5" customHeight="1">
      <c r="A1322" s="159" t="s">
        <v>264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379</v>
      </c>
      <c r="H1322" s="138">
        <v>236</v>
      </c>
      <c r="I1322" s="139" t="e">
        <f>VLOOKUP(H1322,Stock_list!A:R,18,FALSE)</f>
        <v>#N/A</v>
      </c>
      <c r="J1322" s="139" t="e">
        <f>VLOOKUP(H1322,Stock_list!A:S,17,FALSE)</f>
        <v>#N/A</v>
      </c>
      <c r="K1322" s="51" t="e">
        <f>VLOOKUP(H1322,Stock_list!A:T,16,FALSE)</f>
        <v>#N/A</v>
      </c>
      <c r="L1322" s="4">
        <v>43532</v>
      </c>
      <c r="M1322" s="132">
        <v>5</v>
      </c>
      <c r="P1322" s="4" t="e">
        <f>VLOOKUP(H1322,Stock_list!A:Y,25,FALSE)</f>
        <v>#N/A</v>
      </c>
      <c r="Q1322" s="143"/>
      <c r="T1322" s="144"/>
      <c r="U1322" s="145" t="e">
        <f>VLOOKUP(H1322,Stock_list!A:N,14,FALSE)</f>
        <v>#N/A</v>
      </c>
    </row>
    <row r="1323" spans="1:21" ht="16.5" customHeight="1">
      <c r="A1323" s="159" t="s">
        <v>261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290</v>
      </c>
      <c r="H1323" s="138">
        <v>237</v>
      </c>
      <c r="I1323" s="139" t="e">
        <f>VLOOKUP(H1323,Stock_list!A:R,18,FALSE)</f>
        <v>#N/A</v>
      </c>
      <c r="J1323" s="139" t="e">
        <f>VLOOKUP(H1323,Stock_list!A:S,17,FALSE)</f>
        <v>#N/A</v>
      </c>
      <c r="K1323" s="51" t="e">
        <f>VLOOKUP(H1323,Stock_list!A:T,16,FALSE)</f>
        <v>#N/A</v>
      </c>
      <c r="L1323" s="4">
        <v>43574</v>
      </c>
      <c r="M1323" s="132">
        <v>40</v>
      </c>
      <c r="P1323" s="4" t="e">
        <f>VLOOKUP(H1323,Stock_list!A:Y,25,FALSE)</f>
        <v>#N/A</v>
      </c>
      <c r="Q1323" s="143"/>
      <c r="T1323" s="144"/>
      <c r="U1323" s="145" t="e">
        <f>VLOOKUP(H1323,Stock_list!A:N,14,FALSE)</f>
        <v>#N/A</v>
      </c>
    </row>
    <row r="1324" spans="1:21" ht="16.5" customHeight="1">
      <c r="A1324" s="159" t="s">
        <v>264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290</v>
      </c>
      <c r="H1324" s="138">
        <v>237</v>
      </c>
      <c r="I1324" s="139" t="e">
        <f>VLOOKUP(H1324,Stock_list!A:R,18,FALSE)</f>
        <v>#N/A</v>
      </c>
      <c r="J1324" s="139" t="e">
        <f>VLOOKUP(H1324,Stock_list!A:S,17,FALSE)</f>
        <v>#N/A</v>
      </c>
      <c r="K1324" s="51" t="e">
        <f>VLOOKUP(H1324,Stock_list!A:T,16,FALSE)</f>
        <v>#N/A</v>
      </c>
      <c r="L1324" s="4">
        <v>43574</v>
      </c>
      <c r="M1324" s="132">
        <v>6</v>
      </c>
      <c r="P1324" s="4" t="e">
        <f>VLOOKUP(H1324,Stock_list!A:Y,25,FALSE)</f>
        <v>#N/A</v>
      </c>
      <c r="Q1324" s="143"/>
      <c r="T1324" s="144"/>
      <c r="U1324" s="145" t="e">
        <f>VLOOKUP(H1324,Stock_list!A:N,14,FALSE)</f>
        <v>#N/A</v>
      </c>
    </row>
    <row r="1325" spans="1:21" ht="16.5" customHeight="1">
      <c r="A1325" s="159" t="s">
        <v>265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290</v>
      </c>
      <c r="H1325" s="138">
        <v>237</v>
      </c>
      <c r="I1325" s="139" t="e">
        <f>VLOOKUP(H1325,Stock_list!A:R,18,FALSE)</f>
        <v>#N/A</v>
      </c>
      <c r="J1325" s="139" t="e">
        <f>VLOOKUP(H1325,Stock_list!A:S,17,FALSE)</f>
        <v>#N/A</v>
      </c>
      <c r="K1325" s="51" t="e">
        <f>VLOOKUP(H1325,Stock_list!A:T,16,FALSE)</f>
        <v>#N/A</v>
      </c>
      <c r="L1325" s="4">
        <v>43574</v>
      </c>
      <c r="M1325" s="132">
        <v>1</v>
      </c>
      <c r="P1325" s="4" t="e">
        <f>VLOOKUP(H1325,Stock_list!A:Y,25,FALSE)</f>
        <v>#N/A</v>
      </c>
      <c r="Q1325" s="143"/>
      <c r="T1325" s="144"/>
      <c r="U1325" s="145" t="e">
        <f>VLOOKUP(H1325,Stock_list!A:N,14,FALSE)</f>
        <v>#N/A</v>
      </c>
    </row>
    <row r="1326" spans="1:21" ht="16.5" customHeight="1">
      <c r="A1326" s="159" t="s">
        <v>261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379</v>
      </c>
      <c r="H1326" s="138">
        <v>244</v>
      </c>
      <c r="I1326" s="139" t="e">
        <f>VLOOKUP(H1326,Stock_list!A:R,18,FALSE)</f>
        <v>#N/A</v>
      </c>
      <c r="J1326" s="139" t="e">
        <f>VLOOKUP(H1326,Stock_list!A:S,17,FALSE)</f>
        <v>#N/A</v>
      </c>
      <c r="K1326" s="51" t="e">
        <f>VLOOKUP(H1326,Stock_list!A:T,16,FALSE)</f>
        <v>#N/A</v>
      </c>
      <c r="L1326" s="4">
        <v>43608</v>
      </c>
      <c r="M1326" s="132">
        <v>100</v>
      </c>
      <c r="P1326" s="4" t="e">
        <f>VLOOKUP(H1326,Stock_list!A:Y,25,FALSE)</f>
        <v>#N/A</v>
      </c>
      <c r="Q1326" s="143"/>
      <c r="T1326" s="144"/>
      <c r="U1326" s="145" t="e">
        <f>VLOOKUP(H1326,Stock_list!A:N,14,FALSE)</f>
        <v>#N/A</v>
      </c>
    </row>
    <row r="1327" spans="1:21" ht="16.5" customHeight="1">
      <c r="A1327" s="159" t="s">
        <v>264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379</v>
      </c>
      <c r="H1327" s="138">
        <v>244</v>
      </c>
      <c r="I1327" s="139" t="e">
        <f>VLOOKUP(H1327,Stock_list!A:R,18,FALSE)</f>
        <v>#N/A</v>
      </c>
      <c r="J1327" s="139" t="e">
        <f>VLOOKUP(H1327,Stock_list!A:S,17,FALSE)</f>
        <v>#N/A</v>
      </c>
      <c r="K1327" s="51" t="e">
        <f>VLOOKUP(H1327,Stock_list!A:T,16,FALSE)</f>
        <v>#N/A</v>
      </c>
      <c r="L1327" s="4">
        <v>43608</v>
      </c>
      <c r="M1327" s="132">
        <v>20</v>
      </c>
      <c r="P1327" s="4" t="e">
        <f>VLOOKUP(H1327,Stock_list!A:Y,25,FALSE)</f>
        <v>#N/A</v>
      </c>
      <c r="Q1327" s="143"/>
      <c r="T1327" s="144"/>
      <c r="U1327" s="145" t="e">
        <f>VLOOKUP(H1327,Stock_list!A:N,14,FALSE)</f>
        <v>#N/A</v>
      </c>
    </row>
    <row r="1328" spans="1:21" ht="16.5" customHeight="1">
      <c r="A1328" s="159" t="s">
        <v>272</v>
      </c>
      <c r="B1328" s="114" t="str">
        <f>VLOOKUP(A1328,'Data pick slip'!B:F,5,FALSE)</f>
        <v>KLJ-MC100-00</v>
      </c>
      <c r="F1328" s="157" t="s">
        <v>379</v>
      </c>
      <c r="H1328" s="138">
        <v>238</v>
      </c>
      <c r="I1328" s="139" t="e">
        <f>VLOOKUP(H1328,Stock_list!A:R,18,FALSE)</f>
        <v>#N/A</v>
      </c>
      <c r="J1328" s="139" t="e">
        <f>VLOOKUP(H1328,Stock_list!A:S,17,FALSE)</f>
        <v>#N/A</v>
      </c>
      <c r="K1328" s="51" t="e">
        <f>VLOOKUP(H1328,Stock_list!A:T,16,FALSE)</f>
        <v>#N/A</v>
      </c>
      <c r="L1328" s="4"/>
      <c r="M1328" s="132">
        <v>60</v>
      </c>
      <c r="P1328" s="4" t="e">
        <f>VLOOKUP(H1328,Stock_list!A:Y,25,FALSE)</f>
        <v>#N/A</v>
      </c>
      <c r="Q1328" s="143"/>
      <c r="T1328" s="144"/>
      <c r="U1328" s="145" t="e">
        <f>VLOOKUP(H1328,Stock_list!A:N,14,FALSE)</f>
        <v>#N/A</v>
      </c>
    </row>
    <row r="1329" spans="1:21" ht="16.5" customHeight="1">
      <c r="A1329" s="159" t="s">
        <v>273</v>
      </c>
      <c r="B1329" s="114" t="str">
        <f>VLOOKUP(A1329,'Data pick slip'!B:F,5,FALSE)</f>
        <v>KLJ-MC200-00</v>
      </c>
      <c r="F1329" s="157" t="s">
        <v>290</v>
      </c>
      <c r="H1329" s="138">
        <v>238</v>
      </c>
      <c r="I1329" s="139" t="e">
        <f>VLOOKUP(H1329,Stock_list!A:R,18,FALSE)</f>
        <v>#N/A</v>
      </c>
      <c r="J1329" s="139" t="e">
        <f>VLOOKUP(H1329,Stock_list!A:S,17,FALSE)</f>
        <v>#N/A</v>
      </c>
      <c r="K1329" s="51" t="e">
        <f>VLOOKUP(H1329,Stock_list!A:T,16,FALSE)</f>
        <v>#N/A</v>
      </c>
      <c r="L1329" s="4"/>
      <c r="M1329" s="132">
        <v>8</v>
      </c>
      <c r="P1329" s="4" t="e">
        <f>VLOOKUP(H1329,Stock_list!A:Y,25,FALSE)</f>
        <v>#N/A</v>
      </c>
      <c r="S1329" s="123" t="s">
        <v>521</v>
      </c>
      <c r="T1329" s="205" t="s">
        <v>575</v>
      </c>
      <c r="U1329" s="145" t="e">
        <f>VLOOKUP(H1329,Stock_list!A:N,14,FALSE)</f>
        <v>#N/A</v>
      </c>
    </row>
    <row r="1330" spans="1:21" ht="16.5" customHeight="1">
      <c r="A1330" s="159" t="s">
        <v>274</v>
      </c>
      <c r="B1330" s="114" t="str">
        <f>VLOOKUP(A1330,'Data pick slip'!B:F,5,FALSE)</f>
        <v>KLJ-MC400-00</v>
      </c>
      <c r="F1330" s="157" t="s">
        <v>290</v>
      </c>
      <c r="H1330" s="138">
        <v>238</v>
      </c>
      <c r="I1330" s="139" t="e">
        <f>VLOOKUP(H1330,Stock_list!A:R,18,FALSE)</f>
        <v>#N/A</v>
      </c>
      <c r="J1330" s="139" t="e">
        <f>VLOOKUP(H1330,Stock_list!A:S,17,FALSE)</f>
        <v>#N/A</v>
      </c>
      <c r="K1330" s="51" t="e">
        <f>VLOOKUP(H1330,Stock_list!A:T,16,FALSE)</f>
        <v>#N/A</v>
      </c>
      <c r="L1330" s="4"/>
      <c r="M1330" s="132">
        <v>2</v>
      </c>
      <c r="P1330" s="4" t="e">
        <f>VLOOKUP(H1330,Stock_list!A:Y,25,FALSE)</f>
        <v>#N/A</v>
      </c>
      <c r="Q1330" s="143"/>
      <c r="S1330" s="123" t="s">
        <v>521</v>
      </c>
      <c r="T1330" s="205" t="s">
        <v>575</v>
      </c>
      <c r="U1330" s="145" t="e">
        <f>VLOOKUP(H1330,Stock_list!A:N,14,FALSE)</f>
        <v>#N/A</v>
      </c>
    </row>
    <row r="1331" spans="1:21" ht="16.5" customHeight="1">
      <c r="A1331" s="159" t="s">
        <v>265</v>
      </c>
      <c r="B1331" s="114" t="str">
        <f>VLOOKUP(A1331,'Data pick slip'!B:F,5,FALSE)</f>
        <v>KHJ-MC400-00</v>
      </c>
      <c r="F1331" s="157" t="s">
        <v>290</v>
      </c>
      <c r="I1331" s="139" t="s">
        <v>371</v>
      </c>
      <c r="J1331" s="139" t="s">
        <v>576</v>
      </c>
      <c r="K1331" s="51" t="s">
        <v>225</v>
      </c>
      <c r="L1331" s="4" t="s">
        <v>532</v>
      </c>
      <c r="M1331" s="140">
        <v>2</v>
      </c>
      <c r="P1331" s="4" t="s">
        <v>214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261</v>
      </c>
      <c r="B1332" s="114" t="str">
        <f>VLOOKUP(A1332,'Data pick slip'!B:F,5,FALSE)</f>
        <v>KHJ-MC100-00</v>
      </c>
      <c r="F1332" s="157" t="s">
        <v>379</v>
      </c>
      <c r="H1332" s="138">
        <v>250</v>
      </c>
      <c r="I1332" s="139" t="e">
        <f>VLOOKUP(H1332,Stock_list!A:R,18,FALSE)</f>
        <v>#N/A</v>
      </c>
      <c r="J1332" s="139" t="e">
        <f>VLOOKUP(H1332,Stock_list!A:S,17,FALSE)</f>
        <v>#N/A</v>
      </c>
      <c r="K1332" s="51" t="e">
        <f>VLOOKUP(H1332,Stock_list!A:T,16,FALSE)</f>
        <v>#N/A</v>
      </c>
      <c r="L1332" s="4">
        <v>43609</v>
      </c>
      <c r="M1332" s="132">
        <v>70</v>
      </c>
      <c r="P1332" s="4" t="e">
        <f>VLOOKUP(H1332,Stock_list!A:Y,25,FALSE)</f>
        <v>#N/A</v>
      </c>
      <c r="Q1332" s="143"/>
      <c r="T1332" s="144"/>
      <c r="U1332" s="145" t="e">
        <f>VLOOKUP(H1332,Stock_list!A:N,14,FALSE)</f>
        <v>#N/A</v>
      </c>
    </row>
    <row r="1333" spans="1:21" ht="16.5" customHeight="1">
      <c r="A1333" s="159" t="s">
        <v>264</v>
      </c>
      <c r="B1333" s="114" t="str">
        <f>VLOOKUP(A1333,'Data pick slip'!B:F,5,FALSE)</f>
        <v>KHJ-MC200-00</v>
      </c>
      <c r="F1333" s="157" t="s">
        <v>379</v>
      </c>
      <c r="H1333" s="138">
        <v>250</v>
      </c>
      <c r="I1333" s="139" t="e">
        <f>VLOOKUP(H1333,Stock_list!A:R,18,FALSE)</f>
        <v>#N/A</v>
      </c>
      <c r="J1333" s="139" t="e">
        <f>VLOOKUP(H1333,Stock_list!A:S,17,FALSE)</f>
        <v>#N/A</v>
      </c>
      <c r="K1333" s="51" t="e">
        <f>VLOOKUP(H1333,Stock_list!A:T,16,FALSE)</f>
        <v>#N/A</v>
      </c>
      <c r="L1333" s="4">
        <v>43609</v>
      </c>
      <c r="M1333" s="132">
        <v>20</v>
      </c>
      <c r="P1333" s="4" t="e">
        <f>VLOOKUP(H1333,Stock_list!A:Y,25,FALSE)</f>
        <v>#N/A</v>
      </c>
      <c r="Q1333" s="143"/>
      <c r="T1333" s="144"/>
      <c r="U1333" s="145" t="e">
        <f>VLOOKUP(H1333,Stock_list!A:N,14,FALSE)</f>
        <v>#N/A</v>
      </c>
    </row>
    <row r="1334" spans="1:21" ht="16.5" customHeight="1">
      <c r="A1334" s="159" t="s">
        <v>265</v>
      </c>
      <c r="B1334" s="114" t="str">
        <f>VLOOKUP(A1334,'Data pick slip'!B:F,5,FALSE)</f>
        <v>KHJ-MC400-00</v>
      </c>
      <c r="F1334" s="157" t="s">
        <v>379</v>
      </c>
      <c r="H1334" s="138">
        <v>250</v>
      </c>
      <c r="I1334" s="139" t="e">
        <f>VLOOKUP(H1334,Stock_list!A:R,18,FALSE)</f>
        <v>#N/A</v>
      </c>
      <c r="J1334" s="139" t="e">
        <f>VLOOKUP(H1334,Stock_list!A:S,17,FALSE)</f>
        <v>#N/A</v>
      </c>
      <c r="K1334" s="51" t="e">
        <f>VLOOKUP(H1334,Stock_list!A:T,16,FALSE)</f>
        <v>#N/A</v>
      </c>
      <c r="L1334" s="4">
        <v>43609</v>
      </c>
      <c r="M1334" s="132">
        <v>3</v>
      </c>
      <c r="P1334" s="4" t="e">
        <f>VLOOKUP(H1334,Stock_list!A:Y,25,FALSE)</f>
        <v>#N/A</v>
      </c>
      <c r="Q1334" s="143"/>
      <c r="T1334" s="144"/>
      <c r="U1334" s="145" t="e">
        <f>VLOOKUP(H1334,Stock_list!A:N,14,FALSE)</f>
        <v>#N/A</v>
      </c>
    </row>
    <row r="1335" spans="1:21" ht="16.5" customHeight="1">
      <c r="A1335" s="159" t="s">
        <v>266</v>
      </c>
      <c r="B1335" s="114" t="str">
        <f>VLOOKUP(A1335,'Data pick slip'!B:F,5,FALSE)</f>
        <v>KHJ-MC500-00</v>
      </c>
      <c r="F1335" s="157" t="s">
        <v>379</v>
      </c>
      <c r="H1335" s="138">
        <v>250</v>
      </c>
      <c r="I1335" s="139" t="e">
        <f>VLOOKUP(H1335,Stock_list!A:R,18,FALSE)</f>
        <v>#N/A</v>
      </c>
      <c r="J1335" s="139" t="e">
        <f>VLOOKUP(H1335,Stock_list!A:S,17,FALSE)</f>
        <v>#N/A</v>
      </c>
      <c r="K1335" s="51" t="e">
        <f>VLOOKUP(H1335,Stock_list!A:T,16,FALSE)</f>
        <v>#N/A</v>
      </c>
      <c r="L1335" s="4">
        <v>43609</v>
      </c>
      <c r="M1335" s="132">
        <v>1</v>
      </c>
      <c r="P1335" s="4" t="e">
        <f>VLOOKUP(H1335,Stock_list!A:Y,25,FALSE)</f>
        <v>#N/A</v>
      </c>
      <c r="Q1335" s="143"/>
      <c r="T1335" s="144"/>
      <c r="U1335" s="145" t="e">
        <f>VLOOKUP(H1335,Stock_list!A:N,14,FALSE)</f>
        <v>#N/A</v>
      </c>
    </row>
    <row r="1336" spans="1:21" ht="16.5" customHeight="1">
      <c r="A1336" s="159" t="s">
        <v>267</v>
      </c>
      <c r="B1336" s="114" t="str">
        <f>VLOOKUP(A1336,'Data pick slip'!B:F,5,FALSE)</f>
        <v>KHJ-MC600-00</v>
      </c>
      <c r="F1336" s="157" t="s">
        <v>379</v>
      </c>
      <c r="H1336" s="138">
        <v>250</v>
      </c>
      <c r="I1336" s="139" t="e">
        <f>VLOOKUP(H1336,Stock_list!A:R,18,FALSE)</f>
        <v>#N/A</v>
      </c>
      <c r="J1336" s="139" t="e">
        <f>VLOOKUP(H1336,Stock_list!A:S,17,FALSE)</f>
        <v>#N/A</v>
      </c>
      <c r="K1336" s="51" t="e">
        <f>VLOOKUP(H1336,Stock_list!A:T,16,FALSE)</f>
        <v>#N/A</v>
      </c>
      <c r="L1336" s="4">
        <v>43609</v>
      </c>
      <c r="M1336" s="132">
        <v>1</v>
      </c>
      <c r="P1336" s="4" t="e">
        <f>VLOOKUP(H1336,Stock_list!A:Y,25,FALSE)</f>
        <v>#N/A</v>
      </c>
      <c r="Q1336" s="143"/>
      <c r="T1336" s="144"/>
      <c r="U1336" s="145" t="e">
        <f>VLOOKUP(H1336,Stock_list!A:N,14,FALSE)</f>
        <v>#N/A</v>
      </c>
    </row>
    <row r="1337" spans="1:21" ht="16.5" customHeight="1">
      <c r="A1337" s="159" t="s">
        <v>268</v>
      </c>
      <c r="B1337" s="114" t="str">
        <f>VLOOKUP(A1337,'Data pick slip'!B:F,5,FALSE)</f>
        <v>KHJ-MC700-00</v>
      </c>
      <c r="F1337" s="157" t="s">
        <v>379</v>
      </c>
      <c r="H1337" s="138">
        <v>250</v>
      </c>
      <c r="I1337" s="139" t="e">
        <f>VLOOKUP(H1337,Stock_list!A:R,18,FALSE)</f>
        <v>#N/A</v>
      </c>
      <c r="J1337" s="139" t="e">
        <f>VLOOKUP(H1337,Stock_list!A:S,17,FALSE)</f>
        <v>#N/A</v>
      </c>
      <c r="K1337" s="51" t="e">
        <f>VLOOKUP(H1337,Stock_list!A:T,16,FALSE)</f>
        <v>#N/A</v>
      </c>
      <c r="L1337" s="4">
        <v>43609</v>
      </c>
      <c r="M1337" s="132">
        <v>1</v>
      </c>
      <c r="P1337" s="4" t="e">
        <f>VLOOKUP(H1337,Stock_list!A:Y,25,FALSE)</f>
        <v>#N/A</v>
      </c>
      <c r="Q1337" s="143"/>
      <c r="T1337" s="144"/>
      <c r="U1337" s="145" t="e">
        <f>VLOOKUP(H1337,Stock_list!A:N,14,FALSE)</f>
        <v>#N/A</v>
      </c>
    </row>
    <row r="1338" spans="1:21" ht="16.5" customHeight="1">
      <c r="A1338" s="159" t="s">
        <v>261</v>
      </c>
      <c r="B1338" s="114" t="str">
        <f>VLOOKUP(A1338,'Data pick slip'!B:F,5,FALSE)</f>
        <v>KHJ-MC100-00</v>
      </c>
      <c r="F1338" s="157" t="s">
        <v>379</v>
      </c>
      <c r="H1338" s="138">
        <v>243</v>
      </c>
      <c r="I1338" s="139" t="e">
        <f>VLOOKUP(H1338,Stock_list!A:R,18,FALSE)</f>
        <v>#N/A</v>
      </c>
      <c r="J1338" s="139" t="e">
        <f>VLOOKUP(H1338,Stock_list!A:S,17,FALSE)</f>
        <v>#N/A</v>
      </c>
      <c r="K1338" s="51" t="e">
        <f>VLOOKUP(H1338,Stock_list!A:T,16,FALSE)</f>
        <v>#N/A</v>
      </c>
      <c r="L1338" s="4"/>
      <c r="M1338" s="132">
        <v>22</v>
      </c>
      <c r="P1338" s="4" t="e">
        <f>VLOOKUP(H1338,Stock_list!A:Y,25,FALSE)</f>
        <v>#N/A</v>
      </c>
      <c r="Q1338" s="143"/>
      <c r="T1338" s="144"/>
      <c r="U1338" s="145" t="e">
        <f>VLOOKUP(H1338,Stock_list!A:N,14,FALSE)</f>
        <v>#N/A</v>
      </c>
    </row>
    <row r="1339" spans="1:21" ht="16.5" customHeight="1">
      <c r="A1339" s="159" t="s">
        <v>261</v>
      </c>
      <c r="B1339" s="114" t="str">
        <f>VLOOKUP(A1339,'Data pick slip'!B:F,5,FALSE)</f>
        <v>KHJ-MC100-00</v>
      </c>
      <c r="F1339" s="157" t="s">
        <v>379</v>
      </c>
      <c r="H1339" s="138">
        <v>248</v>
      </c>
      <c r="I1339" s="139" t="e">
        <f>VLOOKUP(H1339,Stock_list!A:R,18,FALSE)</f>
        <v>#N/A</v>
      </c>
      <c r="J1339" s="139" t="e">
        <f>VLOOKUP(H1339,Stock_list!A:S,17,FALSE)</f>
        <v>#N/A</v>
      </c>
      <c r="K1339" s="51" t="e">
        <f>VLOOKUP(H1339,Stock_list!A:T,16,FALSE)</f>
        <v>#N/A</v>
      </c>
      <c r="L1339" s="4"/>
      <c r="M1339" s="132">
        <v>10</v>
      </c>
      <c r="P1339" s="4" t="e">
        <f>VLOOKUP(H1339,Stock_list!A:Y,25,FALSE)</f>
        <v>#N/A</v>
      </c>
      <c r="Q1339" s="143"/>
      <c r="T1339" s="144"/>
      <c r="U1339" s="145" t="e">
        <f>VLOOKUP(H1339,Stock_list!A:N,14,FALSE)</f>
        <v>#N/A</v>
      </c>
    </row>
    <row r="1340" spans="1:21" ht="16.5" customHeight="1">
      <c r="A1340" s="159" t="s">
        <v>264</v>
      </c>
      <c r="B1340" s="114" t="str">
        <f>VLOOKUP(A1340,'Data pick slip'!B:F,5,FALSE)</f>
        <v>KHJ-MC200-00</v>
      </c>
      <c r="F1340" s="157" t="s">
        <v>379</v>
      </c>
      <c r="H1340" s="138">
        <v>248</v>
      </c>
      <c r="I1340" s="139" t="e">
        <f>VLOOKUP(H1340,Stock_list!A:R,18,FALSE)</f>
        <v>#N/A</v>
      </c>
      <c r="J1340" s="139" t="e">
        <f>VLOOKUP(H1340,Stock_list!A:S,17,FALSE)</f>
        <v>#N/A</v>
      </c>
      <c r="K1340" s="51" t="e">
        <f>VLOOKUP(H1340,Stock_list!A:T,16,FALSE)</f>
        <v>#N/A</v>
      </c>
      <c r="L1340" s="4">
        <v>43545</v>
      </c>
      <c r="M1340" s="132">
        <v>4</v>
      </c>
      <c r="P1340" s="4" t="e">
        <f>VLOOKUP(H1340,Stock_list!A:Y,25,FALSE)</f>
        <v>#N/A</v>
      </c>
      <c r="Q1340" s="143"/>
      <c r="T1340" s="144"/>
      <c r="U1340" s="145" t="e">
        <f>VLOOKUP(H1340,Stock_list!A:N,14,FALSE)</f>
        <v>#N/A</v>
      </c>
    </row>
    <row r="1341" spans="1:21" ht="16.5" customHeight="1">
      <c r="A1341" s="159" t="s">
        <v>577</v>
      </c>
      <c r="B1341" s="114">
        <f>VLOOKUP(A1341,'Data pick slip'!B:F,5,FALSE)</f>
        <v>0</v>
      </c>
      <c r="F1341" s="157" t="s">
        <v>290</v>
      </c>
      <c r="H1341" s="138">
        <v>243</v>
      </c>
      <c r="I1341" s="139" t="e">
        <f>VLOOKUP(H1341,Stock_list!A:R,18,FALSE)</f>
        <v>#N/A</v>
      </c>
      <c r="J1341" s="139" t="e">
        <f>VLOOKUP(H1341,Stock_list!A:S,17,FALSE)</f>
        <v>#N/A</v>
      </c>
      <c r="K1341" s="51" t="e">
        <f>VLOOKUP(H1341,Stock_list!A:T,16,FALSE)</f>
        <v>#N/A</v>
      </c>
      <c r="L1341" s="4"/>
      <c r="M1341" s="132">
        <v>2</v>
      </c>
      <c r="P1341" s="4" t="e">
        <f>VLOOKUP(H1341,Stock_list!A:Y,25,FALSE)</f>
        <v>#N/A</v>
      </c>
      <c r="Q1341" s="143"/>
      <c r="S1341" s="123" t="s">
        <v>521</v>
      </c>
      <c r="T1341" s="205" t="s">
        <v>565</v>
      </c>
      <c r="U1341" s="145" t="e">
        <f>VLOOKUP(H1341,Stock_list!A:N,14,FALSE)</f>
        <v>#N/A</v>
      </c>
    </row>
    <row r="1342" spans="1:21" ht="16.5" customHeight="1">
      <c r="A1342" s="159" t="s">
        <v>265</v>
      </c>
      <c r="B1342" s="114" t="str">
        <f>VLOOKUP(A1342,'Data pick slip'!B:F,5,FALSE)</f>
        <v>KHJ-MC400-00</v>
      </c>
      <c r="F1342" s="157" t="s">
        <v>290</v>
      </c>
      <c r="I1342" s="139" t="s">
        <v>371</v>
      </c>
      <c r="J1342" s="139" t="s">
        <v>578</v>
      </c>
      <c r="K1342" s="51" t="s">
        <v>225</v>
      </c>
      <c r="L1342" s="4" t="s">
        <v>532</v>
      </c>
      <c r="M1342" s="140">
        <v>2</v>
      </c>
      <c r="P1342" s="4" t="s">
        <v>214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266</v>
      </c>
      <c r="B1343" s="114" t="str">
        <f>VLOOKUP(A1343,'Data pick slip'!B:F,5,FALSE)</f>
        <v>KHJ-MC500-00</v>
      </c>
      <c r="F1343" s="157" t="s">
        <v>290</v>
      </c>
      <c r="I1343" s="139" t="s">
        <v>371</v>
      </c>
      <c r="J1343" s="139" t="s">
        <v>578</v>
      </c>
      <c r="K1343" s="51" t="s">
        <v>225</v>
      </c>
      <c r="L1343" s="4"/>
      <c r="M1343" s="140">
        <v>1</v>
      </c>
      <c r="P1343" s="4" t="s">
        <v>214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272</v>
      </c>
      <c r="B1344" s="114" t="str">
        <f>VLOOKUP(A1344,'Data pick slip'!B:F,5,FALSE)</f>
        <v>KLJ-MC100-00</v>
      </c>
      <c r="F1344" s="157" t="s">
        <v>290</v>
      </c>
      <c r="H1344" s="138">
        <v>252</v>
      </c>
      <c r="I1344" s="139" t="e">
        <f>VLOOKUP(H1344,Stock_list!A:R,18,FALSE)</f>
        <v>#N/A</v>
      </c>
      <c r="J1344" s="139" t="e">
        <f>VLOOKUP(H1344,Stock_list!A:S,17,FALSE)</f>
        <v>#N/A</v>
      </c>
      <c r="K1344" s="51" t="e">
        <f>VLOOKUP(H1344,Stock_list!A:T,16,FALSE)</f>
        <v>#N/A</v>
      </c>
      <c r="L1344" s="4">
        <v>43572</v>
      </c>
      <c r="M1344" s="132">
        <v>35</v>
      </c>
      <c r="P1344" s="4" t="e">
        <f>VLOOKUP(H1344,Stock_list!A:Y,25,FALSE)</f>
        <v>#N/A</v>
      </c>
      <c r="Q1344" s="143"/>
      <c r="S1344" s="123" t="s">
        <v>521</v>
      </c>
      <c r="T1344" s="205" t="s">
        <v>550</v>
      </c>
      <c r="U1344" s="145" t="e">
        <f>VLOOKUP(H1344,Stock_list!A:N,14,FALSE)</f>
        <v>#N/A</v>
      </c>
    </row>
    <row r="1345" spans="1:21" ht="16.5" customHeight="1">
      <c r="A1345" s="159" t="s">
        <v>272</v>
      </c>
      <c r="B1345" s="114" t="str">
        <f>VLOOKUP(A1345,'Data pick slip'!B:F,5,FALSE)</f>
        <v>KLJ-MC100-00</v>
      </c>
      <c r="F1345" s="157" t="s">
        <v>290</v>
      </c>
      <c r="H1345" s="138">
        <v>252</v>
      </c>
      <c r="I1345" s="139" t="e">
        <f>VLOOKUP(H1345,Stock_list!A:R,18,FALSE)</f>
        <v>#N/A</v>
      </c>
      <c r="J1345" s="139" t="e">
        <f>VLOOKUP(H1345,Stock_list!A:S,17,FALSE)</f>
        <v>#N/A</v>
      </c>
      <c r="K1345" s="51" t="e">
        <f>VLOOKUP(H1345,Stock_list!A:T,16,FALSE)</f>
        <v>#N/A</v>
      </c>
      <c r="L1345" s="4">
        <v>43572</v>
      </c>
      <c r="M1345" s="132">
        <v>10</v>
      </c>
      <c r="P1345" s="4" t="e">
        <f>VLOOKUP(H1345,Stock_list!A:Y,25,FALSE)</f>
        <v>#N/A</v>
      </c>
      <c r="Q1345" s="143"/>
      <c r="S1345" s="123" t="s">
        <v>521</v>
      </c>
      <c r="T1345" s="205" t="s">
        <v>579</v>
      </c>
      <c r="U1345" s="145" t="e">
        <f>VLOOKUP(H1345,Stock_list!A:N,14,FALSE)</f>
        <v>#N/A</v>
      </c>
    </row>
    <row r="1346" spans="1:21" ht="16.5" customHeight="1">
      <c r="A1346" s="159" t="s">
        <v>272</v>
      </c>
      <c r="B1346" s="114" t="str">
        <f>VLOOKUP(A1346,'Data pick slip'!B:F,5,FALSE)</f>
        <v>KLJ-MC100-00</v>
      </c>
      <c r="F1346" s="157" t="s">
        <v>290</v>
      </c>
      <c r="H1346" s="138">
        <v>252</v>
      </c>
      <c r="I1346" s="139" t="e">
        <f>VLOOKUP(H1346,Stock_list!A:R,18,FALSE)</f>
        <v>#N/A</v>
      </c>
      <c r="J1346" s="139" t="e">
        <f>VLOOKUP(H1346,Stock_list!A:S,17,FALSE)</f>
        <v>#N/A</v>
      </c>
      <c r="K1346" s="51" t="e">
        <f>VLOOKUP(H1346,Stock_list!A:T,16,FALSE)</f>
        <v>#N/A</v>
      </c>
      <c r="L1346" s="4">
        <v>43572</v>
      </c>
      <c r="M1346" s="132">
        <v>9</v>
      </c>
      <c r="P1346" s="4" t="e">
        <f>VLOOKUP(H1346,Stock_list!A:Y,25,FALSE)</f>
        <v>#N/A</v>
      </c>
      <c r="Q1346" s="143"/>
      <c r="S1346" s="123" t="s">
        <v>521</v>
      </c>
      <c r="T1346" s="205" t="s">
        <v>580</v>
      </c>
      <c r="U1346" s="145" t="e">
        <f>VLOOKUP(H1346,Stock_list!A:N,14,FALSE)</f>
        <v>#N/A</v>
      </c>
    </row>
    <row r="1347" spans="1:21" ht="16.5" customHeight="1">
      <c r="A1347" s="159" t="s">
        <v>272</v>
      </c>
      <c r="B1347" s="114" t="str">
        <f>VLOOKUP(A1347,'Data pick slip'!B:F,5,FALSE)</f>
        <v>KLJ-MC100-00</v>
      </c>
      <c r="F1347" s="157" t="s">
        <v>290</v>
      </c>
      <c r="H1347" s="138">
        <v>252</v>
      </c>
      <c r="I1347" s="139" t="e">
        <f>VLOOKUP(H1347,Stock_list!A:R,18,FALSE)</f>
        <v>#N/A</v>
      </c>
      <c r="J1347" s="139" t="e">
        <f>VLOOKUP(H1347,Stock_list!A:S,17,FALSE)</f>
        <v>#N/A</v>
      </c>
      <c r="K1347" s="51" t="e">
        <f>VLOOKUP(H1347,Stock_list!A:T,16,FALSE)</f>
        <v>#N/A</v>
      </c>
      <c r="L1347" s="4">
        <v>43572</v>
      </c>
      <c r="M1347" s="132">
        <v>1</v>
      </c>
      <c r="P1347" s="4" t="e">
        <f>VLOOKUP(H1347,Stock_list!A:Y,25,FALSE)</f>
        <v>#N/A</v>
      </c>
      <c r="Q1347" s="143"/>
      <c r="S1347" s="123" t="s">
        <v>521</v>
      </c>
      <c r="T1347" s="205" t="s">
        <v>581</v>
      </c>
      <c r="U1347" s="145" t="e">
        <f>VLOOKUP(H1347,Stock_list!A:N,14,FALSE)</f>
        <v>#N/A</v>
      </c>
    </row>
    <row r="1348" spans="1:21" ht="16.5" customHeight="1">
      <c r="A1348" s="159" t="s">
        <v>272</v>
      </c>
      <c r="B1348" s="114" t="str">
        <f>VLOOKUP(A1348,'Data pick slip'!B:F,5,FALSE)</f>
        <v>KLJ-MC100-00</v>
      </c>
      <c r="F1348" s="157" t="s">
        <v>290</v>
      </c>
      <c r="H1348" s="138">
        <v>252</v>
      </c>
      <c r="I1348" s="139" t="e">
        <f>VLOOKUP(H1348,Stock_list!A:R,18,FALSE)</f>
        <v>#N/A</v>
      </c>
      <c r="J1348" s="139" t="e">
        <f>VLOOKUP(H1348,Stock_list!A:S,17,FALSE)</f>
        <v>#N/A</v>
      </c>
      <c r="K1348" s="51" t="e">
        <f>VLOOKUP(H1348,Stock_list!A:T,16,FALSE)</f>
        <v>#N/A</v>
      </c>
      <c r="L1348" s="4">
        <v>43572</v>
      </c>
      <c r="M1348" s="132">
        <v>5</v>
      </c>
      <c r="P1348" s="4" t="e">
        <f>VLOOKUP(H1348,Stock_list!A:Y,25,FALSE)</f>
        <v>#N/A</v>
      </c>
      <c r="Q1348" s="143"/>
      <c r="S1348" s="123" t="s">
        <v>521</v>
      </c>
      <c r="T1348" s="205" t="s">
        <v>582</v>
      </c>
      <c r="U1348" s="145" t="e">
        <f>VLOOKUP(H1348,Stock_list!A:N,14,FALSE)</f>
        <v>#N/A</v>
      </c>
    </row>
    <row r="1349" spans="1:21" ht="16.5" customHeight="1">
      <c r="A1349" s="159" t="s">
        <v>272</v>
      </c>
      <c r="B1349" s="114" t="str">
        <f>VLOOKUP(A1349,'Data pick slip'!B:F,5,FALSE)</f>
        <v>KLJ-MC100-00</v>
      </c>
      <c r="F1349" s="157" t="s">
        <v>290</v>
      </c>
      <c r="H1349" s="138">
        <v>252</v>
      </c>
      <c r="I1349" s="139" t="e">
        <f>VLOOKUP(H1349,Stock_list!A:R,18,FALSE)</f>
        <v>#N/A</v>
      </c>
      <c r="J1349" s="139" t="e">
        <f>VLOOKUP(H1349,Stock_list!A:S,17,FALSE)</f>
        <v>#N/A</v>
      </c>
      <c r="K1349" s="51" t="e">
        <f>VLOOKUP(H1349,Stock_list!A:T,16,FALSE)</f>
        <v>#N/A</v>
      </c>
      <c r="L1349" s="4">
        <v>43572</v>
      </c>
      <c r="M1349" s="132">
        <v>5</v>
      </c>
      <c r="P1349" s="4" t="e">
        <f>VLOOKUP(H1349,Stock_list!A:Y,25,FALSE)</f>
        <v>#N/A</v>
      </c>
      <c r="Q1349" s="143"/>
      <c r="S1349" s="123" t="s">
        <v>521</v>
      </c>
      <c r="T1349" s="205" t="s">
        <v>583</v>
      </c>
      <c r="U1349" s="145" t="e">
        <f>VLOOKUP(H1349,Stock_list!A:N,14,FALSE)</f>
        <v>#N/A</v>
      </c>
    </row>
    <row r="1350" spans="1:21" ht="16.5" customHeight="1">
      <c r="A1350" s="159" t="s">
        <v>272</v>
      </c>
      <c r="B1350" s="114" t="str">
        <f>VLOOKUP(A1350,'Data pick slip'!B:F,5,FALSE)</f>
        <v>KLJ-MC100-00</v>
      </c>
      <c r="F1350" s="157" t="s">
        <v>290</v>
      </c>
      <c r="H1350" s="138">
        <v>252</v>
      </c>
      <c r="I1350" s="139" t="e">
        <f>VLOOKUP(H1350,Stock_list!A:R,18,FALSE)</f>
        <v>#N/A</v>
      </c>
      <c r="J1350" s="139" t="e">
        <f>VLOOKUP(H1350,Stock_list!A:S,17,FALSE)</f>
        <v>#N/A</v>
      </c>
      <c r="K1350" s="51" t="e">
        <f>VLOOKUP(H1350,Stock_list!A:T,16,FALSE)</f>
        <v>#N/A</v>
      </c>
      <c r="L1350" s="4">
        <v>43572</v>
      </c>
      <c r="M1350" s="132">
        <v>20</v>
      </c>
      <c r="P1350" s="4" t="e">
        <f>VLOOKUP(H1350,Stock_list!A:Y,25,FALSE)</f>
        <v>#N/A</v>
      </c>
      <c r="Q1350" s="143"/>
      <c r="S1350" s="123" t="s">
        <v>521</v>
      </c>
      <c r="T1350" s="205" t="s">
        <v>584</v>
      </c>
      <c r="U1350" s="145" t="e">
        <f>VLOOKUP(H1350,Stock_list!A:N,14,FALSE)</f>
        <v>#N/A</v>
      </c>
    </row>
    <row r="1351" spans="1:21" ht="16.5" customHeight="1">
      <c r="A1351" s="159" t="s">
        <v>272</v>
      </c>
      <c r="B1351" s="114" t="str">
        <f>VLOOKUP(A1351,'Data pick slip'!B:F,5,FALSE)</f>
        <v>KLJ-MC100-00</v>
      </c>
      <c r="F1351" s="157" t="s">
        <v>290</v>
      </c>
      <c r="H1351" s="138">
        <v>252</v>
      </c>
      <c r="I1351" s="139" t="e">
        <f>VLOOKUP(H1351,Stock_list!A:R,18,FALSE)</f>
        <v>#N/A</v>
      </c>
      <c r="J1351" s="139" t="e">
        <f>VLOOKUP(H1351,Stock_list!A:S,17,FALSE)</f>
        <v>#N/A</v>
      </c>
      <c r="K1351" s="51" t="e">
        <f>VLOOKUP(H1351,Stock_list!A:T,16,FALSE)</f>
        <v>#N/A</v>
      </c>
      <c r="L1351" s="4">
        <v>43572</v>
      </c>
      <c r="M1351" s="132">
        <v>15</v>
      </c>
      <c r="P1351" s="4" t="e">
        <f>VLOOKUP(H1351,Stock_list!A:Y,25,FALSE)</f>
        <v>#N/A</v>
      </c>
      <c r="Q1351" s="143"/>
      <c r="S1351" s="123" t="s">
        <v>521</v>
      </c>
      <c r="T1351" s="205" t="s">
        <v>585</v>
      </c>
      <c r="U1351" s="145" t="e">
        <f>VLOOKUP(H1351,Stock_list!A:N,14,FALSE)</f>
        <v>#N/A</v>
      </c>
    </row>
    <row r="1352" spans="1:21" ht="16.5" customHeight="1">
      <c r="A1352" s="159" t="s">
        <v>273</v>
      </c>
      <c r="B1352" s="114" t="str">
        <f>VLOOKUP(A1352,'Data pick slip'!B:F,5,FALSE)</f>
        <v>KLJ-MC200-00</v>
      </c>
      <c r="F1352" s="157" t="s">
        <v>290</v>
      </c>
      <c r="H1352" s="138">
        <v>252</v>
      </c>
      <c r="I1352" s="139" t="e">
        <f>VLOOKUP(H1352,Stock_list!A:R,18,FALSE)</f>
        <v>#N/A</v>
      </c>
      <c r="J1352" s="139" t="e">
        <f>VLOOKUP(H1352,Stock_list!A:S,17,FALSE)</f>
        <v>#N/A</v>
      </c>
      <c r="K1352" s="51" t="e">
        <f>VLOOKUP(H1352,Stock_list!A:T,16,FALSE)</f>
        <v>#N/A</v>
      </c>
      <c r="L1352" s="4">
        <v>43572</v>
      </c>
      <c r="M1352" s="132">
        <v>20</v>
      </c>
      <c r="P1352" s="4" t="e">
        <f>VLOOKUP(H1352,Stock_list!A:Y,25,FALSE)</f>
        <v>#N/A</v>
      </c>
      <c r="S1352" s="123" t="s">
        <v>521</v>
      </c>
      <c r="T1352" s="205" t="s">
        <v>586</v>
      </c>
      <c r="U1352" s="145" t="e">
        <f>VLOOKUP(H1352,Stock_list!A:N,14,FALSE)</f>
        <v>#N/A</v>
      </c>
    </row>
    <row r="1353" spans="1:21" ht="16.5" customHeight="1">
      <c r="A1353" s="159" t="s">
        <v>274</v>
      </c>
      <c r="B1353" s="114" t="str">
        <f>VLOOKUP(A1353,'Data pick slip'!B:F,5,FALSE)</f>
        <v>KLJ-MC400-00</v>
      </c>
      <c r="F1353" s="157" t="s">
        <v>290</v>
      </c>
      <c r="H1353" s="138">
        <v>252</v>
      </c>
      <c r="I1353" s="139" t="e">
        <f>VLOOKUP(H1353,Stock_list!A:R,18,FALSE)</f>
        <v>#N/A</v>
      </c>
      <c r="J1353" s="139" t="e">
        <f>VLOOKUP(H1353,Stock_list!A:S,17,FALSE)</f>
        <v>#N/A</v>
      </c>
      <c r="K1353" s="51" t="e">
        <f>VLOOKUP(H1353,Stock_list!A:T,16,FALSE)</f>
        <v>#N/A</v>
      </c>
      <c r="L1353" s="4">
        <v>43572</v>
      </c>
      <c r="M1353" s="132">
        <v>3</v>
      </c>
      <c r="P1353" s="4" t="e">
        <f>VLOOKUP(H1353,Stock_list!A:Y,25,FALSE)</f>
        <v>#N/A</v>
      </c>
      <c r="Q1353" s="143"/>
      <c r="S1353" s="123" t="s">
        <v>521</v>
      </c>
      <c r="T1353" s="205" t="s">
        <v>587</v>
      </c>
      <c r="U1353" s="145" t="e">
        <f>VLOOKUP(H1353,Stock_list!A:N,14,FALSE)</f>
        <v>#N/A</v>
      </c>
    </row>
    <row r="1354" spans="1:21" ht="16.5" customHeight="1">
      <c r="A1354" s="159" t="s">
        <v>275</v>
      </c>
      <c r="B1354" s="114" t="str">
        <f>VLOOKUP(A1354,'Data pick slip'!B:F,5,FALSE)</f>
        <v>KLJ-MC500-00</v>
      </c>
      <c r="F1354" s="157" t="s">
        <v>290</v>
      </c>
      <c r="H1354" s="138">
        <v>252</v>
      </c>
      <c r="I1354" s="139" t="e">
        <f>VLOOKUP(H1354,Stock_list!A:R,18,FALSE)</f>
        <v>#N/A</v>
      </c>
      <c r="J1354" s="139" t="e">
        <f>VLOOKUP(H1354,Stock_list!A:S,17,FALSE)</f>
        <v>#N/A</v>
      </c>
      <c r="K1354" s="51" t="e">
        <f>VLOOKUP(H1354,Stock_list!A:T,16,FALSE)</f>
        <v>#N/A</v>
      </c>
      <c r="L1354" s="4">
        <v>43572</v>
      </c>
      <c r="M1354" s="132">
        <v>1</v>
      </c>
      <c r="P1354" s="4" t="e">
        <f>VLOOKUP(H1354,Stock_list!A:Y,25,FALSE)</f>
        <v>#N/A</v>
      </c>
      <c r="Q1354" s="143"/>
      <c r="S1354" s="123" t="s">
        <v>521</v>
      </c>
      <c r="T1354" s="205" t="s">
        <v>587</v>
      </c>
      <c r="U1354" s="145" t="e">
        <f>VLOOKUP(H1354,Stock_list!A:N,14,FALSE)</f>
        <v>#N/A</v>
      </c>
    </row>
    <row r="1355" spans="1:21" ht="16.5" customHeight="1">
      <c r="A1355" s="159" t="s">
        <v>276</v>
      </c>
      <c r="B1355" s="114" t="str">
        <f>VLOOKUP(A1355,'Data pick slip'!B:F,5,FALSE)</f>
        <v>KLJ-MC600-00</v>
      </c>
      <c r="F1355" s="157" t="s">
        <v>290</v>
      </c>
      <c r="H1355" s="138">
        <v>252</v>
      </c>
      <c r="I1355" s="139" t="e">
        <f>VLOOKUP(H1355,Stock_list!A:R,18,FALSE)</f>
        <v>#N/A</v>
      </c>
      <c r="J1355" s="139" t="e">
        <f>VLOOKUP(H1355,Stock_list!A:S,17,FALSE)</f>
        <v>#N/A</v>
      </c>
      <c r="K1355" s="51" t="e">
        <f>VLOOKUP(H1355,Stock_list!A:T,16,FALSE)</f>
        <v>#N/A</v>
      </c>
      <c r="L1355" s="4">
        <v>43572</v>
      </c>
      <c r="M1355" s="132">
        <v>1</v>
      </c>
      <c r="P1355" s="4" t="e">
        <f>VLOOKUP(H1355,Stock_list!A:Y,25,FALSE)</f>
        <v>#N/A</v>
      </c>
      <c r="Q1355" s="143"/>
      <c r="S1355" s="123" t="s">
        <v>521</v>
      </c>
      <c r="T1355" s="205" t="s">
        <v>587</v>
      </c>
      <c r="U1355" s="145" t="e">
        <f>VLOOKUP(H1355,Stock_list!A:N,14,FALSE)</f>
        <v>#N/A</v>
      </c>
    </row>
    <row r="1356" spans="1:21" ht="16.5" customHeight="1">
      <c r="A1356" s="159" t="s">
        <v>277</v>
      </c>
      <c r="B1356" s="114" t="str">
        <f>VLOOKUP(A1356,'Data pick slip'!B:F,5,FALSE)</f>
        <v>KLJ-MC700-00</v>
      </c>
      <c r="F1356" s="157" t="s">
        <v>290</v>
      </c>
      <c r="H1356" s="138">
        <v>252</v>
      </c>
      <c r="I1356" s="139" t="e">
        <f>VLOOKUP(H1356,Stock_list!A:R,18,FALSE)</f>
        <v>#N/A</v>
      </c>
      <c r="J1356" s="139" t="e">
        <f>VLOOKUP(H1356,Stock_list!A:S,17,FALSE)</f>
        <v>#N/A</v>
      </c>
      <c r="K1356" s="51" t="e">
        <f>VLOOKUP(H1356,Stock_list!A:T,16,FALSE)</f>
        <v>#N/A</v>
      </c>
      <c r="L1356" s="4">
        <v>43572</v>
      </c>
      <c r="M1356" s="132">
        <v>1</v>
      </c>
      <c r="P1356" s="4" t="e">
        <f>VLOOKUP(H1356,Stock_list!A:Y,25,FALSE)</f>
        <v>#N/A</v>
      </c>
      <c r="Q1356" s="143"/>
      <c r="S1356" s="123" t="s">
        <v>521</v>
      </c>
      <c r="T1356" s="205" t="s">
        <v>587</v>
      </c>
      <c r="U1356" s="145" t="e">
        <f>VLOOKUP(H1356,Stock_list!A:N,14,FALSE)</f>
        <v>#N/A</v>
      </c>
    </row>
    <row r="1357" spans="1:21" ht="16.5" customHeight="1">
      <c r="A1357" s="159" t="s">
        <v>272</v>
      </c>
      <c r="B1357" s="114" t="str">
        <f>VLOOKUP(A1357,'Data pick slip'!B:F,5,FALSE)</f>
        <v>KLJ-MC100-00</v>
      </c>
      <c r="F1357" s="157" t="s">
        <v>379</v>
      </c>
      <c r="H1357" s="138">
        <v>460</v>
      </c>
      <c r="I1357" s="139" t="e">
        <f>VLOOKUP(H1357,Stock_list!A:R,18,FALSE)</f>
        <v>#N/A</v>
      </c>
      <c r="J1357" s="139" t="e">
        <f>VLOOKUP(H1357,Stock_list!A:S,17,FALSE)</f>
        <v>#N/A</v>
      </c>
      <c r="K1357" s="51" t="e">
        <f>VLOOKUP(H1357,Stock_list!A:T,16,FALSE)</f>
        <v>#N/A</v>
      </c>
      <c r="L1357" s="4">
        <v>43811</v>
      </c>
      <c r="M1357" s="132">
        <v>200</v>
      </c>
      <c r="P1357" s="4" t="e">
        <f>VLOOKUP(H1357,Stock_list!A:Y,25,FALSE)</f>
        <v>#N/A</v>
      </c>
      <c r="Q1357" s="143"/>
      <c r="T1357" s="144"/>
      <c r="U1357" s="145" t="e">
        <f>VLOOKUP(H1357,Stock_list!A:N,14,FALSE)</f>
        <v>#N/A</v>
      </c>
    </row>
    <row r="1358" spans="1:21" ht="16.5" customHeight="1">
      <c r="A1358" s="159" t="s">
        <v>273</v>
      </c>
      <c r="B1358" s="114" t="str">
        <f>VLOOKUP(A1358,'Data pick slip'!B:F,5,FALSE)</f>
        <v>KLJ-MC200-00</v>
      </c>
      <c r="F1358" s="157" t="s">
        <v>379</v>
      </c>
      <c r="H1358" s="138">
        <v>460</v>
      </c>
      <c r="I1358" s="139" t="e">
        <f>VLOOKUP(H1358,Stock_list!A:R,18,FALSE)</f>
        <v>#N/A</v>
      </c>
      <c r="J1358" s="139" t="e">
        <f>VLOOKUP(H1358,Stock_list!A:S,17,FALSE)</f>
        <v>#N/A</v>
      </c>
      <c r="K1358" s="51" t="e">
        <f>VLOOKUP(H1358,Stock_list!A:T,16,FALSE)</f>
        <v>#N/A</v>
      </c>
      <c r="L1358" s="4">
        <v>43811</v>
      </c>
      <c r="M1358" s="132">
        <v>30</v>
      </c>
      <c r="P1358" s="4" t="e">
        <f>VLOOKUP(H1358,Stock_list!A:Y,25,FALSE)</f>
        <v>#N/A</v>
      </c>
      <c r="T1358" s="144"/>
      <c r="U1358" s="145" t="e">
        <f>VLOOKUP(H1358,Stock_list!A:N,14,FALSE)</f>
        <v>#N/A</v>
      </c>
    </row>
    <row r="1359" spans="1:21" ht="16.5" customHeight="1">
      <c r="A1359" s="159" t="s">
        <v>274</v>
      </c>
      <c r="B1359" s="114" t="str">
        <f>VLOOKUP(A1359,'Data pick slip'!B:F,5,FALSE)</f>
        <v>KLJ-MC400-00</v>
      </c>
      <c r="F1359" s="157" t="s">
        <v>379</v>
      </c>
      <c r="H1359" s="138">
        <v>460</v>
      </c>
      <c r="I1359" s="139" t="e">
        <f>VLOOKUP(H1359,Stock_list!A:R,18,FALSE)</f>
        <v>#N/A</v>
      </c>
      <c r="J1359" s="139" t="e">
        <f>VLOOKUP(H1359,Stock_list!A:S,17,FALSE)</f>
        <v>#N/A</v>
      </c>
      <c r="K1359" s="51" t="e">
        <f>VLOOKUP(H1359,Stock_list!A:T,16,FALSE)</f>
        <v>#N/A</v>
      </c>
      <c r="L1359" s="4">
        <v>43811</v>
      </c>
      <c r="M1359" s="132">
        <v>12</v>
      </c>
      <c r="P1359" s="4" t="e">
        <f>VLOOKUP(H1359,Stock_list!A:Y,25,FALSE)</f>
        <v>#N/A</v>
      </c>
      <c r="Q1359" s="143"/>
      <c r="T1359" s="144"/>
      <c r="U1359" s="145" t="e">
        <f>VLOOKUP(H1359,Stock_list!A:N,14,FALSE)</f>
        <v>#N/A</v>
      </c>
    </row>
    <row r="1360" spans="1:21" ht="16.5" customHeight="1">
      <c r="A1360" s="159" t="s">
        <v>275</v>
      </c>
      <c r="B1360" s="114" t="str">
        <f>VLOOKUP(A1360,'Data pick slip'!B:F,5,FALSE)</f>
        <v>KLJ-MC500-00</v>
      </c>
      <c r="F1360" s="157" t="s">
        <v>379</v>
      </c>
      <c r="H1360" s="138">
        <v>460</v>
      </c>
      <c r="I1360" s="139" t="e">
        <f>VLOOKUP(H1360,Stock_list!A:R,18,FALSE)</f>
        <v>#N/A</v>
      </c>
      <c r="J1360" s="139" t="e">
        <f>VLOOKUP(H1360,Stock_list!A:S,17,FALSE)</f>
        <v>#N/A</v>
      </c>
      <c r="K1360" s="51" t="e">
        <f>VLOOKUP(H1360,Stock_list!A:T,16,FALSE)</f>
        <v>#N/A</v>
      </c>
      <c r="L1360" s="4">
        <v>43811</v>
      </c>
      <c r="M1360" s="132">
        <v>4</v>
      </c>
      <c r="P1360" s="4" t="e">
        <f>VLOOKUP(H1360,Stock_list!A:Y,25,FALSE)</f>
        <v>#N/A</v>
      </c>
      <c r="Q1360" s="143"/>
      <c r="T1360" s="144"/>
      <c r="U1360" s="145" t="e">
        <f>VLOOKUP(H1360,Stock_list!A:N,14,FALSE)</f>
        <v>#N/A</v>
      </c>
    </row>
    <row r="1361" spans="1:21" ht="16.5" customHeight="1">
      <c r="A1361" s="159" t="s">
        <v>272</v>
      </c>
      <c r="B1361" s="114" t="str">
        <f>VLOOKUP(A1361,'Data pick slip'!B:F,5,FALSE)</f>
        <v>KLJ-MC100-00</v>
      </c>
      <c r="F1361" s="157" t="s">
        <v>379</v>
      </c>
      <c r="H1361" s="138">
        <v>263</v>
      </c>
      <c r="I1361" s="139" t="e">
        <f>VLOOKUP(H1361,Stock_list!A:R,18,FALSE)</f>
        <v>#N/A</v>
      </c>
      <c r="J1361" s="139" t="e">
        <f>VLOOKUP(H1361,Stock_list!A:S,17,FALSE)</f>
        <v>#N/A</v>
      </c>
      <c r="K1361" s="51" t="e">
        <f>VLOOKUP(H1361,Stock_list!A:T,16,FALSE)</f>
        <v>#N/A</v>
      </c>
      <c r="L1361" s="4">
        <v>43580</v>
      </c>
      <c r="M1361" s="132">
        <v>55</v>
      </c>
      <c r="P1361" s="4" t="e">
        <f>VLOOKUP(H1361,Stock_list!A:Y,25,FALSE)</f>
        <v>#N/A</v>
      </c>
      <c r="Q1361" s="143"/>
      <c r="T1361" s="144"/>
      <c r="U1361" s="145" t="e">
        <f>VLOOKUP(H1361,Stock_list!A:N,14,FALSE)</f>
        <v>#N/A</v>
      </c>
    </row>
    <row r="1362" spans="1:21" ht="16.5" customHeight="1">
      <c r="A1362" s="159" t="s">
        <v>272</v>
      </c>
      <c r="B1362" s="114" t="str">
        <f>VLOOKUP(A1362,'Data pick slip'!B:F,5,FALSE)</f>
        <v>KLJ-MC100-00</v>
      </c>
      <c r="F1362" s="157" t="s">
        <v>290</v>
      </c>
      <c r="H1362" s="138">
        <v>263</v>
      </c>
      <c r="I1362" s="139" t="e">
        <f>VLOOKUP(H1362,Stock_list!A:R,18,FALSE)</f>
        <v>#N/A</v>
      </c>
      <c r="J1362" s="139" t="e">
        <f>VLOOKUP(H1362,Stock_list!A:S,17,FALSE)</f>
        <v>#N/A</v>
      </c>
      <c r="K1362" s="51" t="e">
        <f>VLOOKUP(H1362,Stock_list!A:T,16,FALSE)</f>
        <v>#N/A</v>
      </c>
      <c r="L1362" s="4">
        <v>43580</v>
      </c>
      <c r="M1362" s="132">
        <v>5</v>
      </c>
      <c r="P1362" s="4" t="e">
        <f>VLOOKUP(H1362,Stock_list!A:Y,25,FALSE)</f>
        <v>#N/A</v>
      </c>
      <c r="Q1362" s="143"/>
      <c r="S1362" s="123" t="s">
        <v>521</v>
      </c>
      <c r="T1362" s="205" t="s">
        <v>588</v>
      </c>
      <c r="U1362" s="145" t="e">
        <f>VLOOKUP(H1362,Stock_list!A:N,14,FALSE)</f>
        <v>#N/A</v>
      </c>
    </row>
    <row r="1363" spans="1:21" ht="16.5" customHeight="1">
      <c r="A1363" s="159" t="s">
        <v>273</v>
      </c>
      <c r="B1363" s="114" t="str">
        <f>VLOOKUP(A1363,'Data pick slip'!B:F,5,FALSE)</f>
        <v>KLJ-MC200-00</v>
      </c>
      <c r="F1363" s="157" t="s">
        <v>290</v>
      </c>
      <c r="H1363" s="138">
        <v>263</v>
      </c>
      <c r="I1363" s="139" t="e">
        <f>VLOOKUP(H1363,Stock_list!A:R,18,FALSE)</f>
        <v>#N/A</v>
      </c>
      <c r="J1363" s="139" t="e">
        <f>VLOOKUP(H1363,Stock_list!A:S,17,FALSE)</f>
        <v>#N/A</v>
      </c>
      <c r="K1363" s="51" t="e">
        <f>VLOOKUP(H1363,Stock_list!A:T,16,FALSE)</f>
        <v>#N/A</v>
      </c>
      <c r="L1363" s="4">
        <v>43580</v>
      </c>
      <c r="M1363" s="132">
        <v>8</v>
      </c>
      <c r="P1363" s="4" t="e">
        <f>VLOOKUP(H1363,Stock_list!A:Y,25,FALSE)</f>
        <v>#N/A</v>
      </c>
      <c r="S1363" s="123" t="s">
        <v>521</v>
      </c>
      <c r="T1363" s="205" t="s">
        <v>589</v>
      </c>
      <c r="U1363" s="145" t="e">
        <f>VLOOKUP(H1363,Stock_list!A:N,14,FALSE)</f>
        <v>#N/A</v>
      </c>
    </row>
    <row r="1364" spans="1:21" ht="16.5" customHeight="1">
      <c r="A1364" s="159" t="s">
        <v>274</v>
      </c>
      <c r="B1364" s="114" t="str">
        <f>VLOOKUP(A1364,'Data pick slip'!B:F,5,FALSE)</f>
        <v>KLJ-MC400-00</v>
      </c>
      <c r="F1364" s="157" t="s">
        <v>290</v>
      </c>
      <c r="H1364" s="138">
        <v>263</v>
      </c>
      <c r="I1364" s="139" t="e">
        <f>VLOOKUP(H1364,Stock_list!A:R,18,FALSE)</f>
        <v>#N/A</v>
      </c>
      <c r="J1364" s="139" t="e">
        <f>VLOOKUP(H1364,Stock_list!A:S,17,FALSE)</f>
        <v>#N/A</v>
      </c>
      <c r="K1364" s="51" t="e">
        <f>VLOOKUP(H1364,Stock_list!A:T,16,FALSE)</f>
        <v>#N/A</v>
      </c>
      <c r="L1364" s="4">
        <v>43580</v>
      </c>
      <c r="M1364" s="132">
        <v>2</v>
      </c>
      <c r="P1364" s="4" t="e">
        <f>VLOOKUP(H1364,Stock_list!A:Y,25,FALSE)</f>
        <v>#N/A</v>
      </c>
      <c r="Q1364" s="143"/>
      <c r="S1364" s="123" t="s">
        <v>521</v>
      </c>
      <c r="T1364" s="205" t="s">
        <v>590</v>
      </c>
      <c r="U1364" s="145" t="e">
        <f>VLOOKUP(H1364,Stock_list!A:N,14,FALSE)</f>
        <v>#N/A</v>
      </c>
    </row>
    <row r="1365" spans="1:21" ht="16.5" customHeight="1">
      <c r="A1365" s="159" t="s">
        <v>261</v>
      </c>
      <c r="B1365" s="114" t="str">
        <f>VLOOKUP(A1365,'Data pick slip'!B:F,5,FALSE)</f>
        <v>KHJ-MC100-00</v>
      </c>
      <c r="F1365" s="157" t="s">
        <v>379</v>
      </c>
      <c r="H1365" s="138">
        <v>265</v>
      </c>
      <c r="I1365" s="139" t="e">
        <f>VLOOKUP(H1365,Stock_list!A:R,18,FALSE)</f>
        <v>#N/A</v>
      </c>
      <c r="J1365" s="139" t="e">
        <f>VLOOKUP(H1365,Stock_list!A:S,17,FALSE)</f>
        <v>#N/A</v>
      </c>
      <c r="K1365" s="51" t="e">
        <f>VLOOKUP(H1365,Stock_list!A:T,16,FALSE)</f>
        <v>#N/A</v>
      </c>
      <c r="L1365" s="4">
        <v>43558</v>
      </c>
      <c r="M1365" s="132">
        <v>45</v>
      </c>
      <c r="N1365" s="149"/>
      <c r="P1365" s="4" t="e">
        <f>VLOOKUP(H1365,Stock_list!A:Y,25,FALSE)</f>
        <v>#N/A</v>
      </c>
      <c r="Q1365" s="143"/>
      <c r="T1365" s="144"/>
      <c r="U1365" s="145" t="e">
        <f>VLOOKUP(H1365,Stock_list!A:N,14,FALSE)</f>
        <v>#N/A</v>
      </c>
    </row>
    <row r="1366" spans="1:21" ht="16.5" customHeight="1">
      <c r="A1366" s="159" t="s">
        <v>264</v>
      </c>
      <c r="B1366" s="114" t="str">
        <f>VLOOKUP(A1366,'Data pick slip'!B:F,5,FALSE)</f>
        <v>KHJ-MC200-00</v>
      </c>
      <c r="F1366" s="157" t="s">
        <v>379</v>
      </c>
      <c r="H1366" s="138">
        <v>265</v>
      </c>
      <c r="I1366" s="139" t="e">
        <f>VLOOKUP(H1366,Stock_list!A:R,18,FALSE)</f>
        <v>#N/A</v>
      </c>
      <c r="J1366" s="139" t="e">
        <f>VLOOKUP(H1366,Stock_list!A:S,17,FALSE)</f>
        <v>#N/A</v>
      </c>
      <c r="K1366" s="51" t="e">
        <f>VLOOKUP(H1366,Stock_list!A:T,16,FALSE)</f>
        <v>#N/A</v>
      </c>
      <c r="L1366" s="4">
        <v>43558</v>
      </c>
      <c r="M1366" s="132">
        <v>5</v>
      </c>
      <c r="N1366" s="149"/>
      <c r="P1366" s="4" t="e">
        <f>VLOOKUP(H1366,Stock_list!A:Y,25,FALSE)</f>
        <v>#N/A</v>
      </c>
      <c r="Q1366" s="143"/>
      <c r="T1366" s="144"/>
      <c r="U1366" s="145" t="e">
        <f>VLOOKUP(H1366,Stock_list!A:N,14,FALSE)</f>
        <v>#N/A</v>
      </c>
    </row>
    <row r="1367" spans="1:21" ht="16.5" customHeight="1">
      <c r="A1367" s="159" t="s">
        <v>273</v>
      </c>
      <c r="B1367" s="114" t="str">
        <f>VLOOKUP(A1367,'Data pick slip'!B:F,5,FALSE)</f>
        <v>KLJ-MC200-00</v>
      </c>
      <c r="F1367" s="157" t="s">
        <v>290</v>
      </c>
      <c r="H1367" s="138">
        <v>267</v>
      </c>
      <c r="I1367" s="139" t="e">
        <f>VLOOKUP(H1367,Stock_list!A:R,18,FALSE)</f>
        <v>#N/A</v>
      </c>
      <c r="J1367" s="139" t="e">
        <f>VLOOKUP(H1367,Stock_list!A:S,17,FALSE)</f>
        <v>#N/A</v>
      </c>
      <c r="K1367" s="51" t="e">
        <f>VLOOKUP(H1367,Stock_list!A:T,16,FALSE)</f>
        <v>#N/A</v>
      </c>
      <c r="L1367" s="4">
        <v>43553</v>
      </c>
      <c r="M1367" s="132">
        <v>10</v>
      </c>
      <c r="P1367" s="4" t="e">
        <f>VLOOKUP(H1367,Stock_list!A:Y,25,FALSE)</f>
        <v>#N/A</v>
      </c>
      <c r="S1367" s="123" t="s">
        <v>521</v>
      </c>
      <c r="T1367" s="205" t="s">
        <v>591</v>
      </c>
      <c r="U1367" s="145" t="e">
        <f>VLOOKUP(H1367,Stock_list!A:N,14,FALSE)</f>
        <v>#N/A</v>
      </c>
    </row>
    <row r="1368" spans="1:21" ht="16.5" customHeight="1">
      <c r="A1368" s="159" t="s">
        <v>592</v>
      </c>
      <c r="B1368" s="114" t="str">
        <f>VLOOKUP(A1368,'Data pick slip'!B:F,5,FALSE)</f>
        <v>KLJ-MC100-00</v>
      </c>
      <c r="F1368" s="157" t="s">
        <v>290</v>
      </c>
      <c r="H1368" s="138">
        <v>267</v>
      </c>
      <c r="I1368" s="139" t="e">
        <f>VLOOKUP(H1368,Stock_list!A:R,18,FALSE)</f>
        <v>#N/A</v>
      </c>
      <c r="J1368" s="139" t="e">
        <f>VLOOKUP(H1368,Stock_list!A:S,17,FALSE)</f>
        <v>#N/A</v>
      </c>
      <c r="K1368" s="51" t="e">
        <f>VLOOKUP(H1368,Stock_list!A:T,16,FALSE)</f>
        <v>#N/A</v>
      </c>
      <c r="L1368" s="4">
        <v>43553</v>
      </c>
      <c r="M1368" s="132">
        <v>5</v>
      </c>
      <c r="P1368" s="4" t="e">
        <f>VLOOKUP(H1368,Stock_list!A:Y,25,FALSE)</f>
        <v>#N/A</v>
      </c>
      <c r="Q1368" s="143"/>
      <c r="S1368" s="123" t="s">
        <v>521</v>
      </c>
      <c r="T1368" s="205" t="s">
        <v>593</v>
      </c>
      <c r="U1368" s="145" t="e">
        <f>VLOOKUP(H1368,Stock_list!A:N,14,FALSE)</f>
        <v>#N/A</v>
      </c>
    </row>
    <row r="1369" spans="1:21" ht="16.5" customHeight="1">
      <c r="A1369" s="159" t="s">
        <v>272</v>
      </c>
      <c r="B1369" s="114" t="str">
        <f>VLOOKUP(A1369,'Data pick slip'!B:F,5,FALSE)</f>
        <v>KLJ-MC100-00</v>
      </c>
      <c r="F1369" s="157" t="s">
        <v>379</v>
      </c>
      <c r="H1369" s="138">
        <v>268</v>
      </c>
      <c r="I1369" s="139" t="e">
        <f>VLOOKUP(H1369,Stock_list!A:R,18,FALSE)</f>
        <v>#N/A</v>
      </c>
      <c r="J1369" s="139" t="e">
        <f>VLOOKUP(H1369,Stock_list!A:S,17,FALSE)</f>
        <v>#N/A</v>
      </c>
      <c r="K1369" s="51" t="e">
        <f>VLOOKUP(H1369,Stock_list!A:T,16,FALSE)</f>
        <v>#N/A</v>
      </c>
      <c r="L1369" s="4">
        <v>43551</v>
      </c>
      <c r="M1369" s="132">
        <v>50</v>
      </c>
      <c r="P1369" s="4" t="e">
        <f>VLOOKUP(H1369,Stock_list!A:Y,25,FALSE)</f>
        <v>#N/A</v>
      </c>
      <c r="Q1369" s="143"/>
      <c r="T1369" s="144"/>
      <c r="U1369" s="145" t="e">
        <f>VLOOKUP(H1369,Stock_list!A:N,14,FALSE)</f>
        <v>#N/A</v>
      </c>
    </row>
    <row r="1370" spans="1:21" ht="16.5" customHeight="1">
      <c r="A1370" s="159" t="s">
        <v>261</v>
      </c>
      <c r="B1370" s="114" t="str">
        <f>VLOOKUP(A1370,'Data pick slip'!B:F,5,FALSE)</f>
        <v>KHJ-MC100-00</v>
      </c>
      <c r="F1370" s="157" t="s">
        <v>379</v>
      </c>
      <c r="H1370" s="138">
        <v>268</v>
      </c>
      <c r="I1370" s="139" t="e">
        <f>VLOOKUP(H1370,Stock_list!A:R,18,FALSE)</f>
        <v>#N/A</v>
      </c>
      <c r="J1370" s="139" t="e">
        <f>VLOOKUP(H1370,Stock_list!A:S,17,FALSE)</f>
        <v>#N/A</v>
      </c>
      <c r="K1370" s="51" t="e">
        <f>VLOOKUP(H1370,Stock_list!A:T,16,FALSE)</f>
        <v>#N/A</v>
      </c>
      <c r="L1370" s="4">
        <v>43551</v>
      </c>
      <c r="M1370" s="132">
        <v>2</v>
      </c>
      <c r="P1370" s="4" t="e">
        <f>VLOOKUP(H1370,Stock_list!A:Y,25,FALSE)</f>
        <v>#N/A</v>
      </c>
      <c r="Q1370" s="143"/>
      <c r="T1370" s="144"/>
      <c r="U1370" s="145" t="e">
        <f>VLOOKUP(H1370,Stock_list!A:N,14,FALSE)</f>
        <v>#N/A</v>
      </c>
    </row>
    <row r="1371" spans="1:21" ht="16.5" customHeight="1">
      <c r="A1371" s="159" t="s">
        <v>264</v>
      </c>
      <c r="B1371" s="114" t="str">
        <f>VLOOKUP(A1371,'Data pick slip'!B:F,5,FALSE)</f>
        <v>KHJ-MC200-00</v>
      </c>
      <c r="F1371" s="157" t="s">
        <v>379</v>
      </c>
      <c r="H1371" s="138">
        <v>268</v>
      </c>
      <c r="I1371" s="139" t="e">
        <f>VLOOKUP(H1371,Stock_list!A:R,18,FALSE)</f>
        <v>#N/A</v>
      </c>
      <c r="J1371" s="139" t="e">
        <f>VLOOKUP(H1371,Stock_list!A:S,17,FALSE)</f>
        <v>#N/A</v>
      </c>
      <c r="K1371" s="51" t="e">
        <f>VLOOKUP(H1371,Stock_list!A:T,16,FALSE)</f>
        <v>#N/A</v>
      </c>
      <c r="L1371" s="4">
        <v>43551</v>
      </c>
      <c r="M1371" s="132">
        <v>1</v>
      </c>
      <c r="P1371" s="4" t="e">
        <f>VLOOKUP(H1371,Stock_list!A:Y,25,FALSE)</f>
        <v>#N/A</v>
      </c>
      <c r="Q1371" s="143"/>
      <c r="T1371" s="144"/>
      <c r="U1371" s="145" t="e">
        <f>VLOOKUP(H1371,Stock_list!A:N,14,FALSE)</f>
        <v>#N/A</v>
      </c>
    </row>
    <row r="1372" spans="1:21" ht="27" customHeight="1">
      <c r="A1372" s="159" t="s">
        <v>261</v>
      </c>
      <c r="B1372" s="114" t="str">
        <f>VLOOKUP(A1372,'Data pick slip'!B:F,5,FALSE)</f>
        <v>KHJ-MC100-00</v>
      </c>
      <c r="F1372" s="157" t="s">
        <v>379</v>
      </c>
      <c r="H1372" s="138">
        <v>273</v>
      </c>
      <c r="I1372" s="139" t="e">
        <f>VLOOKUP(H1372,Stock_list!A:R,18,FALSE)</f>
        <v>#N/A</v>
      </c>
      <c r="J1372" s="139" t="e">
        <f>VLOOKUP(H1372,Stock_list!A:S,17,FALSE)</f>
        <v>#N/A</v>
      </c>
      <c r="K1372" s="51" t="e">
        <f>VLOOKUP(H1372,Stock_list!A:T,16,FALSE)</f>
        <v>#N/A</v>
      </c>
      <c r="L1372" s="4">
        <v>43599</v>
      </c>
      <c r="M1372" s="132">
        <v>50</v>
      </c>
      <c r="P1372" s="4" t="e">
        <f>VLOOKUP(H1372,Stock_list!A:Y,25,FALSE)</f>
        <v>#N/A</v>
      </c>
      <c r="Q1372" s="143"/>
      <c r="T1372" s="144"/>
      <c r="U1372" s="145" t="e">
        <f>VLOOKUP(H1372,Stock_list!A:N,14,FALSE)</f>
        <v>#N/A</v>
      </c>
    </row>
    <row r="1373" spans="1:21" ht="27" customHeight="1">
      <c r="A1373" s="159" t="s">
        <v>264</v>
      </c>
      <c r="B1373" s="114" t="str">
        <f>VLOOKUP(A1373,'Data pick slip'!B:F,5,FALSE)</f>
        <v>KHJ-MC200-00</v>
      </c>
      <c r="F1373" s="157" t="s">
        <v>379</v>
      </c>
      <c r="H1373" s="138">
        <v>273</v>
      </c>
      <c r="I1373" s="139" t="e">
        <f>VLOOKUP(H1373,Stock_list!A:R,18,FALSE)</f>
        <v>#N/A</v>
      </c>
      <c r="J1373" s="139" t="e">
        <f>VLOOKUP(H1373,Stock_list!A:S,17,FALSE)</f>
        <v>#N/A</v>
      </c>
      <c r="K1373" s="51" t="e">
        <f>VLOOKUP(H1373,Stock_list!A:T,16,FALSE)</f>
        <v>#N/A</v>
      </c>
      <c r="L1373" s="4">
        <v>43599</v>
      </c>
      <c r="M1373" s="132">
        <v>10</v>
      </c>
      <c r="P1373" s="4" t="e">
        <f>VLOOKUP(H1373,Stock_list!A:Y,25,FALSE)</f>
        <v>#N/A</v>
      </c>
      <c r="Q1373" s="143"/>
      <c r="T1373" s="144"/>
      <c r="U1373" s="145" t="e">
        <f>VLOOKUP(H1373,Stock_list!A:N,14,FALSE)</f>
        <v>#N/A</v>
      </c>
    </row>
    <row r="1374" spans="1:21" ht="27" customHeight="1">
      <c r="A1374" s="159" t="s">
        <v>265</v>
      </c>
      <c r="B1374" s="114" t="str">
        <f>VLOOKUP(A1374,'Data pick slip'!B:F,5,FALSE)</f>
        <v>KHJ-MC400-00</v>
      </c>
      <c r="F1374" s="157" t="s">
        <v>379</v>
      </c>
      <c r="H1374" s="138">
        <v>273</v>
      </c>
      <c r="I1374" s="139" t="e">
        <f>VLOOKUP(H1374,Stock_list!A:R,18,FALSE)</f>
        <v>#N/A</v>
      </c>
      <c r="J1374" s="139" t="e">
        <f>VLOOKUP(H1374,Stock_list!A:S,17,FALSE)</f>
        <v>#N/A</v>
      </c>
      <c r="K1374" s="51" t="e">
        <f>VLOOKUP(H1374,Stock_list!A:T,16,FALSE)</f>
        <v>#N/A</v>
      </c>
      <c r="L1374" s="4">
        <v>43599</v>
      </c>
      <c r="M1374" s="132">
        <v>4</v>
      </c>
      <c r="P1374" s="4" t="e">
        <f>VLOOKUP(H1374,Stock_list!A:Y,25,FALSE)</f>
        <v>#N/A</v>
      </c>
      <c r="Q1374" s="143"/>
      <c r="T1374" s="144"/>
      <c r="U1374" s="145" t="e">
        <f>VLOOKUP(H1374,Stock_list!A:N,14,FALSE)</f>
        <v>#N/A</v>
      </c>
    </row>
    <row r="1375" spans="1:21" ht="16.5" customHeight="1">
      <c r="A1375" s="159" t="s">
        <v>267</v>
      </c>
      <c r="B1375" s="114" t="str">
        <f>VLOOKUP(A1375,'Data pick slip'!B:F,5,FALSE)</f>
        <v>KHJ-MC600-00</v>
      </c>
      <c r="F1375" s="157" t="s">
        <v>290</v>
      </c>
      <c r="I1375" s="139" t="s">
        <v>371</v>
      </c>
      <c r="J1375" s="139" t="s">
        <v>594</v>
      </c>
      <c r="K1375" s="51" t="s">
        <v>520</v>
      </c>
      <c r="L1375" s="4">
        <v>43551</v>
      </c>
      <c r="M1375" s="140">
        <v>1</v>
      </c>
      <c r="P1375" s="4" t="s">
        <v>214</v>
      </c>
      <c r="Q1375" s="143"/>
      <c r="S1375" s="123" t="s">
        <v>521</v>
      </c>
      <c r="T1375" s="144" t="s">
        <v>595</v>
      </c>
      <c r="U1375" s="145" t="e">
        <f>VLOOKUP(H1375,Stock_list!A:N,14,FALSE)</f>
        <v>#N/A</v>
      </c>
    </row>
    <row r="1376" spans="1:21" ht="16.5" customHeight="1">
      <c r="A1376" s="159" t="s">
        <v>272</v>
      </c>
      <c r="B1376" s="114" t="str">
        <f>VLOOKUP(A1376,'Data pick slip'!B:F,5,FALSE)</f>
        <v>KLJ-MC100-00</v>
      </c>
      <c r="F1376" s="157" t="s">
        <v>290</v>
      </c>
      <c r="H1376" s="138">
        <v>275</v>
      </c>
      <c r="I1376" s="139" t="e">
        <f>VLOOKUP(H1376,Stock_list!A:R,18,FALSE)</f>
        <v>#N/A</v>
      </c>
      <c r="J1376" s="139" t="e">
        <f>VLOOKUP(H1376,Stock_list!A:S,17,FALSE)</f>
        <v>#N/A</v>
      </c>
      <c r="K1376" s="51" t="e">
        <f>VLOOKUP(H1376,Stock_list!A:T,16,FALSE)</f>
        <v>#N/A</v>
      </c>
      <c r="L1376" s="4">
        <v>43566</v>
      </c>
      <c r="M1376" s="132">
        <v>10</v>
      </c>
      <c r="P1376" s="4" t="e">
        <f>VLOOKUP(H1376,Stock_list!A:Y,25,FALSE)</f>
        <v>#N/A</v>
      </c>
      <c r="Q1376" s="143"/>
      <c r="S1376" s="123" t="s">
        <v>521</v>
      </c>
      <c r="T1376" s="205" t="s">
        <v>596</v>
      </c>
      <c r="U1376" s="145" t="e">
        <f>VLOOKUP(H1376,Stock_list!A:N,14,FALSE)</f>
        <v>#N/A</v>
      </c>
    </row>
    <row r="1377" spans="1:21" ht="16.5" customHeight="1">
      <c r="A1377" s="159" t="s">
        <v>261</v>
      </c>
      <c r="B1377" s="114" t="str">
        <f>VLOOKUP(A1377,'Data pick slip'!B:F,5,FALSE)</f>
        <v>KHJ-MC100-00</v>
      </c>
      <c r="F1377" s="157" t="s">
        <v>290</v>
      </c>
      <c r="H1377" s="138">
        <v>275</v>
      </c>
      <c r="I1377" s="139" t="e">
        <f>VLOOKUP(H1377,Stock_list!A:R,18,FALSE)</f>
        <v>#N/A</v>
      </c>
      <c r="J1377" s="139" t="e">
        <f>VLOOKUP(H1377,Stock_list!A:S,17,FALSE)</f>
        <v>#N/A</v>
      </c>
      <c r="K1377" s="51" t="e">
        <f>VLOOKUP(H1377,Stock_list!A:T,16,FALSE)</f>
        <v>#N/A</v>
      </c>
      <c r="L1377" s="4">
        <v>43566</v>
      </c>
      <c r="M1377" s="132">
        <v>2</v>
      </c>
      <c r="P1377" s="4" t="e">
        <f>VLOOKUP(H1377,Stock_list!A:Y,25,FALSE)</f>
        <v>#N/A</v>
      </c>
      <c r="Q1377" s="143"/>
      <c r="S1377" s="123" t="s">
        <v>521</v>
      </c>
      <c r="T1377" s="205" t="s">
        <v>597</v>
      </c>
      <c r="U1377" s="145" t="e">
        <f>VLOOKUP(H1377,Stock_list!A:N,14,FALSE)</f>
        <v>#N/A</v>
      </c>
    </row>
    <row r="1378" spans="1:21" ht="16.5" customHeight="1">
      <c r="A1378" s="159" t="s">
        <v>577</v>
      </c>
      <c r="B1378" s="114" t="s">
        <v>598</v>
      </c>
      <c r="F1378" s="157" t="s">
        <v>290</v>
      </c>
      <c r="H1378" s="138">
        <v>275</v>
      </c>
      <c r="I1378" s="139" t="e">
        <f>VLOOKUP(H1378,Stock_list!A:R,18,FALSE)</f>
        <v>#N/A</v>
      </c>
      <c r="J1378" s="139" t="e">
        <f>VLOOKUP(H1378,Stock_list!A:S,17,FALSE)</f>
        <v>#N/A</v>
      </c>
      <c r="K1378" s="51" t="e">
        <f>VLOOKUP(H1378,Stock_list!A:T,16,FALSE)</f>
        <v>#N/A</v>
      </c>
      <c r="L1378" s="4">
        <v>43566</v>
      </c>
      <c r="M1378" s="132">
        <v>1</v>
      </c>
      <c r="P1378" s="4" t="e">
        <f>VLOOKUP(H1378,Stock_list!A:Y,25,FALSE)</f>
        <v>#N/A</v>
      </c>
      <c r="Q1378" s="143"/>
      <c r="S1378" s="123" t="s">
        <v>521</v>
      </c>
      <c r="T1378" s="205" t="s">
        <v>599</v>
      </c>
      <c r="U1378" s="145" t="e">
        <f>VLOOKUP(H1378,Stock_list!A:N,14,FALSE)</f>
        <v>#N/A</v>
      </c>
    </row>
    <row r="1379" spans="1:21" ht="16.5" customHeight="1">
      <c r="A1379" s="159" t="s">
        <v>265</v>
      </c>
      <c r="B1379" s="114" t="str">
        <f>VLOOKUP(A1379,'Data pick slip'!B:F,5,FALSE)</f>
        <v>KHJ-MC400-00</v>
      </c>
      <c r="F1379" s="157" t="s">
        <v>290</v>
      </c>
      <c r="I1379" s="139" t="s">
        <v>371</v>
      </c>
      <c r="J1379" s="139" t="s">
        <v>600</v>
      </c>
      <c r="K1379" s="51" t="s">
        <v>225</v>
      </c>
      <c r="L1379" s="4">
        <v>43556</v>
      </c>
      <c r="M1379" s="140">
        <v>2</v>
      </c>
      <c r="P1379" s="4" t="s">
        <v>214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266</v>
      </c>
      <c r="B1380" s="114" t="str">
        <f>VLOOKUP(A1380,'Data pick slip'!B:F,5,FALSE)</f>
        <v>KHJ-MC500-00</v>
      </c>
      <c r="F1380" s="157" t="s">
        <v>290</v>
      </c>
      <c r="I1380" s="139" t="s">
        <v>371</v>
      </c>
      <c r="J1380" s="139" t="s">
        <v>600</v>
      </c>
      <c r="K1380" s="51" t="s">
        <v>225</v>
      </c>
      <c r="L1380" s="4">
        <v>43556</v>
      </c>
      <c r="M1380" s="140">
        <v>1</v>
      </c>
      <c r="P1380" s="4" t="s">
        <v>214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261</v>
      </c>
      <c r="B1381" s="114" t="str">
        <f>VLOOKUP(A1381,'Data pick slip'!B:F,5,FALSE)</f>
        <v>KHJ-MC100-00</v>
      </c>
      <c r="F1381" s="157" t="s">
        <v>379</v>
      </c>
      <c r="H1381" s="138">
        <v>251</v>
      </c>
      <c r="I1381" s="139" t="e">
        <f>VLOOKUP(H1381,Stock_list!A:R,18,FALSE)</f>
        <v>#N/A</v>
      </c>
      <c r="J1381" s="139" t="e">
        <f>VLOOKUP(H1381,Stock_list!A:S,17,FALSE)</f>
        <v>#N/A</v>
      </c>
      <c r="K1381" s="51" t="e">
        <f>VLOOKUP(H1381,Stock_list!A:T,16,FALSE)</f>
        <v>#N/A</v>
      </c>
      <c r="L1381" s="4">
        <v>43559</v>
      </c>
      <c r="M1381" s="140">
        <v>30</v>
      </c>
      <c r="P1381" s="4" t="e">
        <f>VLOOKUP(H1381,Stock_list!A:Y,25,FALSE)</f>
        <v>#N/A</v>
      </c>
      <c r="Q1381" s="143"/>
      <c r="T1381" s="144"/>
      <c r="U1381" s="145" t="e">
        <f>VLOOKUP(H1381,Stock_list!A:N,14,FALSE)</f>
        <v>#N/A</v>
      </c>
    </row>
    <row r="1382" spans="1:21" ht="16.5" customHeight="1">
      <c r="A1382" s="159" t="s">
        <v>261</v>
      </c>
      <c r="B1382" s="114" t="str">
        <f>VLOOKUP(A1382,'Data pick slip'!B:F,5,FALSE)</f>
        <v>KHJ-MC100-00</v>
      </c>
      <c r="F1382" s="157" t="s">
        <v>379</v>
      </c>
      <c r="H1382" s="138">
        <v>276</v>
      </c>
      <c r="I1382" s="139" t="e">
        <f>VLOOKUP(H1382,Stock_list!A:R,18,FALSE)</f>
        <v>#N/A</v>
      </c>
      <c r="J1382" s="139" t="e">
        <f>VLOOKUP(H1382,Stock_list!A:S,17,FALSE)</f>
        <v>#N/A</v>
      </c>
      <c r="K1382" s="51" t="e">
        <f>VLOOKUP(H1382,Stock_list!A:T,16,FALSE)</f>
        <v>#N/A</v>
      </c>
      <c r="L1382" s="4">
        <v>43571</v>
      </c>
      <c r="M1382" s="132">
        <v>10</v>
      </c>
      <c r="P1382" s="4" t="e">
        <f>VLOOKUP(H1382,Stock_list!A:Y,25,FALSE)</f>
        <v>#N/A</v>
      </c>
      <c r="Q1382" s="143"/>
      <c r="T1382" s="144"/>
      <c r="U1382" s="145" t="e">
        <f>VLOOKUP(H1382,Stock_list!A:N,14,FALSE)</f>
        <v>#N/A</v>
      </c>
    </row>
    <row r="1383" spans="1:21" ht="16.5" customHeight="1">
      <c r="A1383" s="159" t="s">
        <v>264</v>
      </c>
      <c r="B1383" s="114" t="str">
        <f>VLOOKUP(A1383,'Data pick slip'!B:F,5,FALSE)</f>
        <v>KHJ-MC200-00</v>
      </c>
      <c r="F1383" s="157" t="s">
        <v>379</v>
      </c>
      <c r="H1383" s="138">
        <v>276</v>
      </c>
      <c r="I1383" s="139" t="e">
        <f>VLOOKUP(H1383,Stock_list!A:R,18,FALSE)</f>
        <v>#N/A</v>
      </c>
      <c r="J1383" s="139" t="e">
        <f>VLOOKUP(H1383,Stock_list!A:S,17,FALSE)</f>
        <v>#N/A</v>
      </c>
      <c r="K1383" s="51" t="e">
        <f>VLOOKUP(H1383,Stock_list!A:T,16,FALSE)</f>
        <v>#N/A</v>
      </c>
      <c r="L1383" s="4">
        <v>43571</v>
      </c>
      <c r="M1383" s="132">
        <v>1</v>
      </c>
      <c r="P1383" s="4" t="e">
        <f>VLOOKUP(H1383,Stock_list!A:Y,25,FALSE)</f>
        <v>#N/A</v>
      </c>
      <c r="Q1383" s="143"/>
      <c r="T1383" s="144"/>
      <c r="U1383" s="145" t="e">
        <f>VLOOKUP(H1383,Stock_list!A:N,14,FALSE)</f>
        <v>#N/A</v>
      </c>
    </row>
    <row r="1384" spans="1:21" ht="16.5" customHeight="1">
      <c r="A1384" s="159" t="s">
        <v>272</v>
      </c>
      <c r="B1384" s="114" t="str">
        <f>VLOOKUP(A1384,'Data pick slip'!B:F,5,FALSE)</f>
        <v>KLJ-MC100-00</v>
      </c>
      <c r="F1384" s="157" t="s">
        <v>379</v>
      </c>
      <c r="H1384" s="138">
        <v>277</v>
      </c>
      <c r="I1384" s="139" t="e">
        <f>VLOOKUP(H1384,Stock_list!A:R,18,FALSE)</f>
        <v>#N/A</v>
      </c>
      <c r="J1384" s="139" t="e">
        <f>VLOOKUP(H1384,Stock_list!A:S,17,FALSE)</f>
        <v>#N/A</v>
      </c>
      <c r="K1384" s="51" t="e">
        <f>VLOOKUP(H1384,Stock_list!A:T,16,FALSE)</f>
        <v>#N/A</v>
      </c>
      <c r="L1384" s="4">
        <v>43640</v>
      </c>
      <c r="M1384" s="132">
        <v>75</v>
      </c>
      <c r="P1384" s="4" t="e">
        <f>VLOOKUP(H1384,Stock_list!A:Y,25,FALSE)</f>
        <v>#N/A</v>
      </c>
      <c r="Q1384" s="143"/>
      <c r="T1384" s="144"/>
      <c r="U1384" s="145" t="e">
        <f>VLOOKUP(H1384,Stock_list!A:N,14,FALSE)</f>
        <v>#N/A</v>
      </c>
    </row>
    <row r="1385" spans="1:21" ht="16.5" customHeight="1">
      <c r="A1385" s="159" t="s">
        <v>261</v>
      </c>
      <c r="B1385" s="114" t="str">
        <f>VLOOKUP(A1385,'Data pick slip'!B:F,5,FALSE)</f>
        <v>KHJ-MC100-00</v>
      </c>
      <c r="F1385" s="157" t="s">
        <v>379</v>
      </c>
      <c r="H1385" s="138">
        <v>277</v>
      </c>
      <c r="I1385" s="139" t="e">
        <f>VLOOKUP(H1385,Stock_list!A:R,18,FALSE)</f>
        <v>#N/A</v>
      </c>
      <c r="J1385" s="139" t="e">
        <f>VLOOKUP(H1385,Stock_list!A:S,17,FALSE)</f>
        <v>#N/A</v>
      </c>
      <c r="K1385" s="51" t="e">
        <f>VLOOKUP(H1385,Stock_list!A:T,16,FALSE)</f>
        <v>#N/A</v>
      </c>
      <c r="L1385" s="4">
        <v>43640</v>
      </c>
      <c r="M1385" s="132">
        <v>2</v>
      </c>
      <c r="P1385" s="4" t="e">
        <f>VLOOKUP(H1385,Stock_list!A:Y,25,FALSE)</f>
        <v>#N/A</v>
      </c>
      <c r="Q1385" s="143"/>
      <c r="T1385" s="144"/>
      <c r="U1385" s="145" t="e">
        <f>VLOOKUP(H1385,Stock_list!A:N,14,FALSE)</f>
        <v>#N/A</v>
      </c>
    </row>
    <row r="1386" spans="1:21" ht="16.5" customHeight="1">
      <c r="A1386" s="159" t="s">
        <v>272</v>
      </c>
      <c r="B1386" s="114" t="str">
        <f>VLOOKUP(A1386,'Data pick slip'!B:F,5,FALSE)</f>
        <v>KLJ-MC100-00</v>
      </c>
      <c r="F1386" s="157" t="s">
        <v>379</v>
      </c>
      <c r="H1386" s="138">
        <v>277</v>
      </c>
      <c r="I1386" s="139" t="e">
        <f>VLOOKUP(H1386,Stock_list!A:R,18,FALSE)</f>
        <v>#N/A</v>
      </c>
      <c r="J1386" s="139" t="e">
        <f>VLOOKUP(H1386,Stock_list!A:S,17,FALSE)</f>
        <v>#N/A</v>
      </c>
      <c r="K1386" s="51" t="e">
        <f>VLOOKUP(H1386,Stock_list!A:T,16,FALSE)</f>
        <v>#N/A</v>
      </c>
      <c r="L1386" s="4">
        <v>43640</v>
      </c>
      <c r="M1386" s="132">
        <v>4</v>
      </c>
      <c r="P1386" s="4" t="e">
        <f>VLOOKUP(H1386,Stock_list!A:Y,25,FALSE)</f>
        <v>#N/A</v>
      </c>
      <c r="Q1386" s="143"/>
      <c r="T1386" s="144"/>
      <c r="U1386" s="145" t="e">
        <f>VLOOKUP(H1386,Stock_list!A:N,14,FALSE)</f>
        <v>#N/A</v>
      </c>
    </row>
    <row r="1387" spans="1:21" ht="16.5" customHeight="1">
      <c r="A1387" s="159" t="s">
        <v>273</v>
      </c>
      <c r="B1387" s="114" t="str">
        <f>VLOOKUP(A1387,'Data pick slip'!B:F,5,FALSE)</f>
        <v>KLJ-MC200-00</v>
      </c>
      <c r="F1387" s="157" t="s">
        <v>379</v>
      </c>
      <c r="H1387" s="138">
        <v>277</v>
      </c>
      <c r="I1387" s="139" t="e">
        <f>VLOOKUP(H1387,Stock_list!A:R,18,FALSE)</f>
        <v>#N/A</v>
      </c>
      <c r="J1387" s="139" t="e">
        <f>VLOOKUP(H1387,Stock_list!A:S,17,FALSE)</f>
        <v>#N/A</v>
      </c>
      <c r="K1387" s="51" t="e">
        <f>VLOOKUP(H1387,Stock_list!A:T,16,FALSE)</f>
        <v>#N/A</v>
      </c>
      <c r="L1387" s="4">
        <v>43640</v>
      </c>
      <c r="M1387" s="132">
        <v>6</v>
      </c>
      <c r="P1387" s="4" t="e">
        <f>VLOOKUP(H1387,Stock_list!A:Y,25,FALSE)</f>
        <v>#N/A</v>
      </c>
      <c r="T1387" s="144"/>
      <c r="U1387" s="145" t="e">
        <f>VLOOKUP(H1387,Stock_list!A:N,14,FALSE)</f>
        <v>#N/A</v>
      </c>
    </row>
    <row r="1388" spans="1:21" ht="16.5" customHeight="1">
      <c r="A1388" s="159" t="s">
        <v>261</v>
      </c>
      <c r="B1388" s="114" t="str">
        <f>VLOOKUP(A1388,'Data pick slip'!B:F,5,FALSE)</f>
        <v>KHJ-MC100-00</v>
      </c>
      <c r="F1388" s="157" t="s">
        <v>379</v>
      </c>
      <c r="H1388" s="138">
        <v>279</v>
      </c>
      <c r="I1388" s="139" t="e">
        <f>VLOOKUP(H1388,Stock_list!A:R,18,FALSE)</f>
        <v>#N/A</v>
      </c>
      <c r="J1388" s="139" t="e">
        <f>VLOOKUP(H1388,Stock_list!A:S,17,FALSE)</f>
        <v>#N/A</v>
      </c>
      <c r="K1388" s="51" t="e">
        <f>VLOOKUP(H1388,Stock_list!A:T,16,FALSE)</f>
        <v>#N/A</v>
      </c>
      <c r="L1388" s="4">
        <v>43570</v>
      </c>
      <c r="M1388" s="132">
        <v>92</v>
      </c>
      <c r="P1388" s="4" t="e">
        <f>VLOOKUP(H1388,Stock_list!A:Y,25,FALSE)</f>
        <v>#N/A</v>
      </c>
      <c r="Q1388" s="143"/>
      <c r="T1388" s="144"/>
      <c r="U1388" s="145" t="e">
        <f>VLOOKUP(H1388,Stock_list!A:N,14,FALSE)</f>
        <v>#N/A</v>
      </c>
    </row>
    <row r="1389" spans="1:21" ht="16.5" customHeight="1">
      <c r="A1389" s="159" t="s">
        <v>264</v>
      </c>
      <c r="B1389" s="114" t="str">
        <f>VLOOKUP(A1389,'Data pick slip'!B:F,5,FALSE)</f>
        <v>KHJ-MC200-00</v>
      </c>
      <c r="F1389" s="157" t="s">
        <v>379</v>
      </c>
      <c r="H1389" s="138">
        <v>279</v>
      </c>
      <c r="I1389" s="139" t="e">
        <f>VLOOKUP(H1389,Stock_list!A:R,18,FALSE)</f>
        <v>#N/A</v>
      </c>
      <c r="J1389" s="139" t="e">
        <f>VLOOKUP(H1389,Stock_list!A:S,17,FALSE)</f>
        <v>#N/A</v>
      </c>
      <c r="K1389" s="51" t="e">
        <f>VLOOKUP(H1389,Stock_list!A:T,16,FALSE)</f>
        <v>#N/A</v>
      </c>
      <c r="L1389" s="4">
        <v>43570</v>
      </c>
      <c r="M1389" s="132">
        <v>13</v>
      </c>
      <c r="P1389" s="4" t="e">
        <f>VLOOKUP(H1389,Stock_list!A:Y,25,FALSE)</f>
        <v>#N/A</v>
      </c>
      <c r="Q1389" s="143"/>
      <c r="T1389" s="144"/>
      <c r="U1389" s="145" t="e">
        <f>VLOOKUP(H1389,Stock_list!A:N,14,FALSE)</f>
        <v>#N/A</v>
      </c>
    </row>
    <row r="1390" spans="1:21" ht="16.5" customHeight="1">
      <c r="A1390" s="159" t="s">
        <v>265</v>
      </c>
      <c r="B1390" s="114" t="str">
        <f>VLOOKUP(A1390,'Data pick slip'!B:F,5,FALSE)</f>
        <v>KHJ-MC400-00</v>
      </c>
      <c r="F1390" s="157" t="s">
        <v>379</v>
      </c>
      <c r="H1390" s="138">
        <v>279</v>
      </c>
      <c r="I1390" s="139" t="e">
        <f>VLOOKUP(H1390,Stock_list!A:R,18,FALSE)</f>
        <v>#N/A</v>
      </c>
      <c r="J1390" s="139" t="e">
        <f>VLOOKUP(H1390,Stock_list!A:S,17,FALSE)</f>
        <v>#N/A</v>
      </c>
      <c r="K1390" s="51" t="e">
        <f>VLOOKUP(H1390,Stock_list!A:T,16,FALSE)</f>
        <v>#N/A</v>
      </c>
      <c r="L1390" s="4">
        <v>43570</v>
      </c>
      <c r="M1390" s="132">
        <v>1</v>
      </c>
      <c r="P1390" s="4" t="e">
        <f>VLOOKUP(H1390,Stock_list!A:Y,25,FALSE)</f>
        <v>#N/A</v>
      </c>
      <c r="Q1390" s="143"/>
      <c r="T1390" s="144"/>
      <c r="U1390" s="145" t="e">
        <f>VLOOKUP(H1390,Stock_list!A:N,14,FALSE)</f>
        <v>#N/A</v>
      </c>
    </row>
    <row r="1391" spans="1:21" ht="16.5" customHeight="1">
      <c r="A1391" s="159" t="s">
        <v>265</v>
      </c>
      <c r="B1391" s="114" t="str">
        <f>VLOOKUP(A1391,'Data pick slip'!B:F,5,FALSE)</f>
        <v>KHJ-MC400-00</v>
      </c>
      <c r="F1391" s="157" t="s">
        <v>290</v>
      </c>
      <c r="I1391" s="139" t="s">
        <v>371</v>
      </c>
      <c r="J1391" s="139" t="s">
        <v>601</v>
      </c>
      <c r="K1391" s="51" t="s">
        <v>225</v>
      </c>
      <c r="L1391" s="4">
        <v>43566</v>
      </c>
      <c r="M1391" s="140">
        <v>2</v>
      </c>
      <c r="P1391" s="4" t="s">
        <v>214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261</v>
      </c>
      <c r="B1392" s="114" t="str">
        <f>VLOOKUP(A1392,'Data pick slip'!B:F,5,FALSE)</f>
        <v>KHJ-MC100-00</v>
      </c>
      <c r="F1392" s="157" t="s">
        <v>379</v>
      </c>
      <c r="H1392" s="138">
        <v>280</v>
      </c>
      <c r="I1392" s="139" t="e">
        <f>VLOOKUP(H1392,Stock_list!A:R,18,FALSE)</f>
        <v>#N/A</v>
      </c>
      <c r="J1392" s="139" t="e">
        <f>VLOOKUP(H1392,Stock_list!A:S,17,FALSE)</f>
        <v>#N/A</v>
      </c>
      <c r="K1392" s="51" t="e">
        <f>VLOOKUP(H1392,Stock_list!A:T,16,FALSE)</f>
        <v>#N/A</v>
      </c>
      <c r="L1392" s="4">
        <v>43580</v>
      </c>
      <c r="M1392" s="132">
        <v>60</v>
      </c>
      <c r="P1392" s="4" t="e">
        <f>VLOOKUP(H1392,Stock_list!A:Y,25,FALSE)</f>
        <v>#N/A</v>
      </c>
      <c r="Q1392" s="143"/>
      <c r="T1392" s="144"/>
      <c r="U1392" s="145" t="e">
        <f>VLOOKUP(H1392,Stock_list!A:N,14,FALSE)</f>
        <v>#N/A</v>
      </c>
    </row>
    <row r="1393" spans="1:21" ht="16.5" customHeight="1">
      <c r="A1393" s="159" t="s">
        <v>264</v>
      </c>
      <c r="B1393" s="114" t="str">
        <f>VLOOKUP(A1393,'Data pick slip'!B:F,5,FALSE)</f>
        <v>KHJ-MC200-00</v>
      </c>
      <c r="F1393" s="157" t="s">
        <v>379</v>
      </c>
      <c r="H1393" s="138">
        <v>280</v>
      </c>
      <c r="I1393" s="139" t="e">
        <f>VLOOKUP(H1393,Stock_list!A:R,18,FALSE)</f>
        <v>#N/A</v>
      </c>
      <c r="J1393" s="139" t="e">
        <f>VLOOKUP(H1393,Stock_list!A:S,17,FALSE)</f>
        <v>#N/A</v>
      </c>
      <c r="K1393" s="51" t="e">
        <f>VLOOKUP(H1393,Stock_list!A:T,16,FALSE)</f>
        <v>#N/A</v>
      </c>
      <c r="L1393" s="4">
        <v>43580</v>
      </c>
      <c r="M1393" s="132">
        <v>21</v>
      </c>
      <c r="P1393" s="4" t="e">
        <f>VLOOKUP(H1393,Stock_list!A:Y,25,FALSE)</f>
        <v>#N/A</v>
      </c>
      <c r="Q1393" s="143"/>
      <c r="T1393" s="144"/>
      <c r="U1393" s="145" t="e">
        <f>VLOOKUP(H1393,Stock_list!A:N,14,FALSE)</f>
        <v>#N/A</v>
      </c>
    </row>
    <row r="1394" spans="1:21" ht="16.5" customHeight="1">
      <c r="A1394" s="159" t="s">
        <v>265</v>
      </c>
      <c r="B1394" s="114" t="str">
        <f>VLOOKUP(A1394,'Data pick slip'!B:F,5,FALSE)</f>
        <v>KHJ-MC400-00</v>
      </c>
      <c r="F1394" s="157" t="s">
        <v>379</v>
      </c>
      <c r="H1394" s="138">
        <v>280</v>
      </c>
      <c r="I1394" s="139" t="e">
        <f>VLOOKUP(H1394,Stock_list!A:R,18,FALSE)</f>
        <v>#N/A</v>
      </c>
      <c r="J1394" s="139" t="e">
        <f>VLOOKUP(H1394,Stock_list!A:S,17,FALSE)</f>
        <v>#N/A</v>
      </c>
      <c r="K1394" s="51" t="e">
        <f>VLOOKUP(H1394,Stock_list!A:T,16,FALSE)</f>
        <v>#N/A</v>
      </c>
      <c r="L1394" s="4">
        <v>43580</v>
      </c>
      <c r="M1394" s="132">
        <v>9</v>
      </c>
      <c r="P1394" s="4" t="e">
        <f>VLOOKUP(H1394,Stock_list!A:Y,25,FALSE)</f>
        <v>#N/A</v>
      </c>
      <c r="Q1394" s="143"/>
      <c r="T1394" s="144"/>
      <c r="U1394" s="145" t="e">
        <f>VLOOKUP(H1394,Stock_list!A:N,14,FALSE)</f>
        <v>#N/A</v>
      </c>
    </row>
    <row r="1395" spans="1:21" ht="16.5" customHeight="1">
      <c r="A1395" s="159" t="s">
        <v>265</v>
      </c>
      <c r="B1395" s="114" t="str">
        <f>VLOOKUP(A1395,'Data pick slip'!B:F,5,FALSE)</f>
        <v>KHJ-MC400-00</v>
      </c>
      <c r="F1395" s="157" t="s">
        <v>290</v>
      </c>
      <c r="H1395" s="138">
        <v>280</v>
      </c>
      <c r="I1395" s="139" t="e">
        <f>VLOOKUP(H1395,Stock_list!A:R,18,FALSE)</f>
        <v>#N/A</v>
      </c>
      <c r="J1395" s="139" t="e">
        <f>VLOOKUP(H1395,Stock_list!A:S,17,FALSE)</f>
        <v>#N/A</v>
      </c>
      <c r="K1395" s="51" t="e">
        <f>VLOOKUP(H1395,Stock_list!A:T,16,FALSE)</f>
        <v>#N/A</v>
      </c>
      <c r="L1395" s="4">
        <v>43580</v>
      </c>
      <c r="M1395" s="132">
        <v>3</v>
      </c>
      <c r="P1395" s="4" t="e">
        <f>VLOOKUP(H1395,Stock_list!A:Y,25,FALSE)</f>
        <v>#N/A</v>
      </c>
      <c r="Q1395" s="143"/>
      <c r="S1395" s="123" t="s">
        <v>521</v>
      </c>
      <c r="T1395" s="205" t="s">
        <v>602</v>
      </c>
      <c r="U1395" s="145" t="e">
        <f>VLOOKUP(H1395,Stock_list!A:N,14,FALSE)</f>
        <v>#N/A</v>
      </c>
    </row>
    <row r="1396" spans="1:21" ht="16.5" customHeight="1">
      <c r="A1396" s="159" t="s">
        <v>266</v>
      </c>
      <c r="B1396" s="114" t="str">
        <f>VLOOKUP(A1396,'Data pick slip'!B:F,5,FALSE)</f>
        <v>KHJ-MC500-00</v>
      </c>
      <c r="F1396" s="157" t="s">
        <v>290</v>
      </c>
      <c r="H1396" s="138">
        <v>280</v>
      </c>
      <c r="I1396" s="139" t="e">
        <f>VLOOKUP(H1396,Stock_list!A:R,18,FALSE)</f>
        <v>#N/A</v>
      </c>
      <c r="J1396" s="139" t="e">
        <f>VLOOKUP(H1396,Stock_list!A:S,17,FALSE)</f>
        <v>#N/A</v>
      </c>
      <c r="K1396" s="51" t="e">
        <f>VLOOKUP(H1396,Stock_list!A:T,16,FALSE)</f>
        <v>#N/A</v>
      </c>
      <c r="L1396" s="4">
        <v>43580</v>
      </c>
      <c r="M1396" s="132">
        <v>2</v>
      </c>
      <c r="P1396" s="4" t="e">
        <f>VLOOKUP(H1396,Stock_list!A:Y,25,FALSE)</f>
        <v>#N/A</v>
      </c>
      <c r="Q1396" s="143"/>
      <c r="S1396" s="123" t="s">
        <v>521</v>
      </c>
      <c r="T1396" s="205" t="s">
        <v>602</v>
      </c>
      <c r="U1396" s="145" t="e">
        <f>VLOOKUP(H1396,Stock_list!A:N,14,FALSE)</f>
        <v>#N/A</v>
      </c>
    </row>
    <row r="1397" spans="1:21" ht="16.5" customHeight="1">
      <c r="A1397" s="159" t="s">
        <v>261</v>
      </c>
      <c r="B1397" s="114" t="str">
        <f>VLOOKUP(A1397,'Data pick slip'!B:F,5,FALSE)</f>
        <v>KHJ-MC100-00</v>
      </c>
      <c r="F1397" s="157" t="s">
        <v>290</v>
      </c>
      <c r="I1397" s="139" t="s">
        <v>371</v>
      </c>
      <c r="J1397" s="139" t="s">
        <v>603</v>
      </c>
      <c r="K1397" s="51" t="s">
        <v>225</v>
      </c>
      <c r="L1397" s="4">
        <v>43572</v>
      </c>
      <c r="M1397" s="132">
        <v>65</v>
      </c>
      <c r="P1397" s="4" t="s">
        <v>214</v>
      </c>
      <c r="Q1397" s="143"/>
      <c r="S1397" s="123" t="s">
        <v>521</v>
      </c>
      <c r="T1397" s="144" t="s">
        <v>604</v>
      </c>
      <c r="U1397" s="145" t="e">
        <f>VLOOKUP(H1397,Stock_list!A:N,14,FALSE)</f>
        <v>#N/A</v>
      </c>
    </row>
    <row r="1398" spans="1:21" ht="16.5" customHeight="1">
      <c r="A1398" s="159" t="s">
        <v>264</v>
      </c>
      <c r="B1398" s="114" t="str">
        <f>VLOOKUP(A1398,'Data pick slip'!B:F,5,FALSE)</f>
        <v>KHJ-MC200-00</v>
      </c>
      <c r="F1398" s="157" t="s">
        <v>290</v>
      </c>
      <c r="I1398" s="139" t="s">
        <v>371</v>
      </c>
      <c r="J1398" s="139" t="s">
        <v>603</v>
      </c>
      <c r="K1398" s="51" t="s">
        <v>225</v>
      </c>
      <c r="L1398" s="4">
        <v>43572</v>
      </c>
      <c r="M1398" s="132">
        <v>20</v>
      </c>
      <c r="P1398" s="4" t="s">
        <v>214</v>
      </c>
      <c r="Q1398" s="143"/>
      <c r="S1398" s="123" t="s">
        <v>521</v>
      </c>
      <c r="T1398" s="144" t="s">
        <v>604</v>
      </c>
      <c r="U1398" s="145" t="e">
        <f>VLOOKUP(H1398,Stock_list!A:N,14,FALSE)</f>
        <v>#N/A</v>
      </c>
    </row>
    <row r="1399" spans="1:21" ht="16.5" customHeight="1">
      <c r="A1399" s="159" t="s">
        <v>267</v>
      </c>
      <c r="B1399" s="114" t="str">
        <f>VLOOKUP(A1399,'Data pick slip'!B:F,5,FALSE)</f>
        <v>KHJ-MC600-00</v>
      </c>
      <c r="F1399" s="157" t="s">
        <v>290</v>
      </c>
      <c r="I1399" s="139" t="s">
        <v>371</v>
      </c>
      <c r="J1399" s="139" t="s">
        <v>603</v>
      </c>
      <c r="K1399" s="51" t="s">
        <v>225</v>
      </c>
      <c r="L1399" s="4">
        <v>43572</v>
      </c>
      <c r="M1399" s="132">
        <v>1</v>
      </c>
      <c r="P1399" s="4" t="s">
        <v>214</v>
      </c>
      <c r="Q1399" s="143"/>
      <c r="S1399" s="123" t="s">
        <v>521</v>
      </c>
      <c r="T1399" s="144" t="s">
        <v>604</v>
      </c>
      <c r="U1399" s="145" t="e">
        <f>VLOOKUP(H1399,Stock_list!A:N,14,FALSE)</f>
        <v>#N/A</v>
      </c>
    </row>
    <row r="1400" spans="1:21" ht="27" customHeight="1">
      <c r="A1400" s="159" t="s">
        <v>261</v>
      </c>
      <c r="B1400" s="114" t="str">
        <f>VLOOKUP(A1400,'Data pick slip'!B:F,5,FALSE)</f>
        <v>KHJ-MC100-00</v>
      </c>
      <c r="F1400" s="157" t="s">
        <v>379</v>
      </c>
      <c r="H1400" s="138">
        <v>283</v>
      </c>
      <c r="I1400" s="139" t="e">
        <f>VLOOKUP(H1400,Stock_list!A:R,18,FALSE)</f>
        <v>#N/A</v>
      </c>
      <c r="J1400" s="139" t="e">
        <f>VLOOKUP(H1400,Stock_list!A:S,17,FALSE)</f>
        <v>#N/A</v>
      </c>
      <c r="K1400" s="51" t="e">
        <f>VLOOKUP(H1400,Stock_list!A:T,16,FALSE)</f>
        <v>#N/A</v>
      </c>
      <c r="L1400" s="4">
        <v>43584</v>
      </c>
      <c r="M1400" s="132">
        <v>40</v>
      </c>
      <c r="P1400" s="4" t="e">
        <f>VLOOKUP(H1400,Stock_list!A:Y,25,FALSE)</f>
        <v>#N/A</v>
      </c>
      <c r="Q1400" s="143"/>
      <c r="T1400" s="144"/>
      <c r="U1400" s="145" t="e">
        <f>VLOOKUP(H1400,Stock_list!A:N,14,FALSE)</f>
        <v>#N/A</v>
      </c>
    </row>
    <row r="1401" spans="1:21" ht="27" customHeight="1">
      <c r="A1401" s="159" t="s">
        <v>264</v>
      </c>
      <c r="B1401" s="114" t="str">
        <f>VLOOKUP(A1401,'Data pick slip'!B:F,5,FALSE)</f>
        <v>KHJ-MC200-00</v>
      </c>
      <c r="F1401" s="157" t="s">
        <v>379</v>
      </c>
      <c r="H1401" s="138">
        <v>283</v>
      </c>
      <c r="I1401" s="139" t="e">
        <f>VLOOKUP(H1401,Stock_list!A:R,18,FALSE)</f>
        <v>#N/A</v>
      </c>
      <c r="J1401" s="139" t="e">
        <f>VLOOKUP(H1401,Stock_list!A:S,17,FALSE)</f>
        <v>#N/A</v>
      </c>
      <c r="K1401" s="51" t="e">
        <f>VLOOKUP(H1401,Stock_list!A:T,16,FALSE)</f>
        <v>#N/A</v>
      </c>
      <c r="L1401" s="4">
        <v>43584</v>
      </c>
      <c r="M1401" s="132">
        <v>20</v>
      </c>
      <c r="P1401" s="4" t="e">
        <f>VLOOKUP(H1401,Stock_list!A:Y,25,FALSE)</f>
        <v>#N/A</v>
      </c>
      <c r="Q1401" s="143"/>
      <c r="T1401" s="144"/>
      <c r="U1401" s="145" t="e">
        <f>VLOOKUP(H1401,Stock_list!A:N,14,FALSE)</f>
        <v>#N/A</v>
      </c>
    </row>
    <row r="1402" spans="1:21" ht="27" customHeight="1">
      <c r="A1402" s="159" t="s">
        <v>265</v>
      </c>
      <c r="B1402" s="114" t="str">
        <f>VLOOKUP(A1402,'Data pick slip'!B:F,5,FALSE)</f>
        <v>KHJ-MC400-00</v>
      </c>
      <c r="F1402" s="157" t="s">
        <v>290</v>
      </c>
      <c r="H1402" s="138">
        <v>283</v>
      </c>
      <c r="I1402" s="139" t="e">
        <f>VLOOKUP(H1402,Stock_list!A:R,18,FALSE)</f>
        <v>#N/A</v>
      </c>
      <c r="J1402" s="139" t="e">
        <f>VLOOKUP(H1402,Stock_list!A:S,17,FALSE)</f>
        <v>#N/A</v>
      </c>
      <c r="K1402" s="51" t="e">
        <f>VLOOKUP(H1402,Stock_list!A:T,16,FALSE)</f>
        <v>#N/A</v>
      </c>
      <c r="L1402" s="4">
        <v>43584</v>
      </c>
      <c r="M1402" s="132">
        <v>4</v>
      </c>
      <c r="P1402" s="4" t="e">
        <f>VLOOKUP(H1402,Stock_list!A:Y,25,FALSE)</f>
        <v>#N/A</v>
      </c>
      <c r="Q1402" s="143"/>
      <c r="S1402" s="123" t="s">
        <v>521</v>
      </c>
      <c r="T1402" s="205" t="s">
        <v>599</v>
      </c>
      <c r="U1402" s="145" t="e">
        <f>VLOOKUP(H1402,Stock_list!A:N,14,FALSE)</f>
        <v>#N/A</v>
      </c>
    </row>
    <row r="1403" spans="1:21" ht="16.5" customHeight="1">
      <c r="A1403" s="159" t="s">
        <v>261</v>
      </c>
      <c r="B1403" s="114" t="str">
        <f>VLOOKUP(A1403,'Data pick slip'!B:F,5,FALSE)</f>
        <v>KHJ-MC100-00</v>
      </c>
      <c r="F1403" s="157" t="s">
        <v>379</v>
      </c>
      <c r="H1403" s="138">
        <v>284</v>
      </c>
      <c r="I1403" s="139" t="e">
        <f>VLOOKUP(H1403,Stock_list!A:R,18,FALSE)</f>
        <v>#N/A</v>
      </c>
      <c r="J1403" s="139" t="e">
        <f>VLOOKUP(H1403,Stock_list!A:S,17,FALSE)</f>
        <v>#N/A</v>
      </c>
      <c r="K1403" s="51" t="e">
        <f>VLOOKUP(H1403,Stock_list!A:T,16,FALSE)</f>
        <v>#N/A</v>
      </c>
      <c r="L1403" s="4">
        <v>43593</v>
      </c>
      <c r="M1403" s="132">
        <v>35</v>
      </c>
      <c r="P1403" s="4" t="e">
        <f>VLOOKUP(H1403,Stock_list!A:Y,25,FALSE)</f>
        <v>#N/A</v>
      </c>
      <c r="Q1403" s="143"/>
      <c r="T1403" s="144"/>
      <c r="U1403" s="145" t="e">
        <f>VLOOKUP(H1403,Stock_list!A:N,14,FALSE)</f>
        <v>#N/A</v>
      </c>
    </row>
    <row r="1404" spans="1:21" ht="16.5" customHeight="1">
      <c r="A1404" s="159" t="s">
        <v>264</v>
      </c>
      <c r="B1404" s="114" t="str">
        <f>VLOOKUP(A1404,'Data pick slip'!B:F,5,FALSE)</f>
        <v>KHJ-MC200-00</v>
      </c>
      <c r="F1404" s="157" t="s">
        <v>379</v>
      </c>
      <c r="H1404" s="138">
        <v>284</v>
      </c>
      <c r="I1404" s="139" t="e">
        <f>VLOOKUP(H1404,Stock_list!A:R,18,FALSE)</f>
        <v>#N/A</v>
      </c>
      <c r="J1404" s="139" t="e">
        <f>VLOOKUP(H1404,Stock_list!A:S,17,FALSE)</f>
        <v>#N/A</v>
      </c>
      <c r="K1404" s="51" t="e">
        <f>VLOOKUP(H1404,Stock_list!A:T,16,FALSE)</f>
        <v>#N/A</v>
      </c>
      <c r="L1404" s="4">
        <v>43593</v>
      </c>
      <c r="M1404" s="132">
        <v>5</v>
      </c>
      <c r="P1404" s="4" t="e">
        <f>VLOOKUP(H1404,Stock_list!A:Y,25,FALSE)</f>
        <v>#N/A</v>
      </c>
      <c r="Q1404" s="143"/>
      <c r="T1404" s="144"/>
      <c r="U1404" s="145" t="e">
        <f>VLOOKUP(H1404,Stock_list!A:N,14,FALSE)</f>
        <v>#N/A</v>
      </c>
    </row>
    <row r="1405" spans="1:21" ht="16.5" customHeight="1">
      <c r="A1405" s="159" t="s">
        <v>264</v>
      </c>
      <c r="B1405" s="114" t="str">
        <f>VLOOKUP(A1405,'Data pick slip'!B:F,5,FALSE)</f>
        <v>KHJ-MC200-00</v>
      </c>
      <c r="F1405" s="157" t="s">
        <v>290</v>
      </c>
      <c r="I1405" s="139" t="s">
        <v>371</v>
      </c>
      <c r="J1405" s="139" t="s">
        <v>605</v>
      </c>
      <c r="K1405" s="51" t="s">
        <v>225</v>
      </c>
      <c r="L1405" s="4">
        <v>43577</v>
      </c>
      <c r="M1405" s="140">
        <v>5</v>
      </c>
      <c r="P1405" s="4" t="s">
        <v>214</v>
      </c>
      <c r="Q1405" s="143"/>
      <c r="S1405" s="123" t="s">
        <v>521</v>
      </c>
      <c r="T1405" s="144" t="s">
        <v>604</v>
      </c>
      <c r="U1405" s="145" t="e">
        <f>VLOOKUP(H1405,Stock_list!A:N,14,FALSE)</f>
        <v>#N/A</v>
      </c>
    </row>
    <row r="1406" spans="1:21" ht="16.5" customHeight="1">
      <c r="A1406" s="159" t="s">
        <v>265</v>
      </c>
      <c r="B1406" s="114" t="str">
        <f>VLOOKUP(A1406,'Data pick slip'!B:F,5,FALSE)</f>
        <v>KHJ-MC400-00</v>
      </c>
      <c r="F1406" s="157" t="s">
        <v>290</v>
      </c>
      <c r="I1406" s="139" t="s">
        <v>371</v>
      </c>
      <c r="J1406" s="139" t="s">
        <v>605</v>
      </c>
      <c r="K1406" s="51" t="s">
        <v>225</v>
      </c>
      <c r="L1406" s="4">
        <v>43577</v>
      </c>
      <c r="M1406" s="140">
        <v>1</v>
      </c>
      <c r="P1406" s="4" t="s">
        <v>214</v>
      </c>
      <c r="Q1406" s="143"/>
      <c r="S1406" s="123" t="s">
        <v>521</v>
      </c>
      <c r="T1406" s="144" t="s">
        <v>604</v>
      </c>
      <c r="U1406" s="145" t="e">
        <f>VLOOKUP(H1406,Stock_list!A:N,14,FALSE)</f>
        <v>#N/A</v>
      </c>
    </row>
    <row r="1407" spans="1:21" ht="16.5" customHeight="1">
      <c r="A1407" s="159" t="s">
        <v>272</v>
      </c>
      <c r="B1407" s="114" t="str">
        <f>VLOOKUP(A1407,'Data pick slip'!B:F,5,FALSE)</f>
        <v>KLJ-MC100-00</v>
      </c>
      <c r="F1407" s="157" t="s">
        <v>379</v>
      </c>
      <c r="H1407" s="138">
        <v>287</v>
      </c>
      <c r="I1407" s="139" t="e">
        <f>VLOOKUP(H1407,Stock_list!A:R,18,FALSE)</f>
        <v>#N/A</v>
      </c>
      <c r="J1407" s="139" t="e">
        <f>VLOOKUP(H1407,Stock_list!A:S,17,FALSE)</f>
        <v>#N/A</v>
      </c>
      <c r="K1407" s="51" t="e">
        <f>VLOOKUP(H1407,Stock_list!A:T,16,FALSE)</f>
        <v>#N/A</v>
      </c>
      <c r="L1407" s="4">
        <v>43609</v>
      </c>
      <c r="M1407" s="140">
        <v>50</v>
      </c>
      <c r="P1407" s="4" t="e">
        <f>VLOOKUP(H1407,Stock_list!A:Y,25,FALSE)</f>
        <v>#N/A</v>
      </c>
      <c r="Q1407" s="143"/>
      <c r="T1407" s="144"/>
      <c r="U1407" s="145" t="e">
        <f>VLOOKUP(H1407,Stock_list!A:N,14,FALSE)</f>
        <v>#N/A</v>
      </c>
    </row>
    <row r="1408" spans="1:21" ht="16.5" customHeight="1">
      <c r="A1408" s="159" t="s">
        <v>267</v>
      </c>
      <c r="B1408" s="114" t="str">
        <f>VLOOKUP(A1408,'Data pick slip'!B:F,5,FALSE)</f>
        <v>KHJ-MC600-00</v>
      </c>
      <c r="F1408" s="157" t="s">
        <v>290</v>
      </c>
      <c r="I1408" s="139" t="s">
        <v>371</v>
      </c>
      <c r="J1408" s="139" t="s">
        <v>606</v>
      </c>
      <c r="K1408" s="51" t="s">
        <v>520</v>
      </c>
      <c r="L1408" s="4">
        <v>43585</v>
      </c>
      <c r="M1408" s="140">
        <v>1</v>
      </c>
      <c r="P1408" s="4" t="s">
        <v>214</v>
      </c>
      <c r="Q1408" s="143"/>
      <c r="S1408" s="123" t="s">
        <v>521</v>
      </c>
      <c r="T1408" s="205" t="s">
        <v>607</v>
      </c>
      <c r="U1408" s="145" t="e">
        <f>VLOOKUP(H1408,Stock_list!A:N,14,FALSE)</f>
        <v>#N/A</v>
      </c>
    </row>
    <row r="1409" spans="1:21" ht="16.5" customHeight="1">
      <c r="A1409" s="159" t="s">
        <v>261</v>
      </c>
      <c r="B1409" s="114" t="str">
        <f>VLOOKUP(A1409,'Data pick slip'!B:F,5,FALSE)</f>
        <v>KHJ-MC100-00</v>
      </c>
      <c r="F1409" s="157" t="s">
        <v>379</v>
      </c>
      <c r="H1409" s="138">
        <v>297</v>
      </c>
      <c r="I1409" s="139" t="e">
        <f>VLOOKUP(H1409,Stock_list!A:R,18,FALSE)</f>
        <v>#N/A</v>
      </c>
      <c r="J1409" s="139" t="e">
        <f>VLOOKUP(H1409,Stock_list!A:S,17,FALSE)</f>
        <v>#N/A</v>
      </c>
      <c r="K1409" s="51" t="e">
        <f>VLOOKUP(H1409,Stock_list!A:T,16,FALSE)</f>
        <v>#N/A</v>
      </c>
      <c r="L1409" s="4">
        <v>43651</v>
      </c>
      <c r="M1409" s="132">
        <f>58+8</f>
        <v>66</v>
      </c>
      <c r="P1409" s="4" t="e">
        <f>VLOOKUP(H1409,Stock_list!A:Y,25,FALSE)</f>
        <v>#N/A</v>
      </c>
      <c r="Q1409" s="143"/>
      <c r="T1409" s="144"/>
      <c r="U1409" s="145" t="e">
        <f>VLOOKUP(H1409,Stock_list!A:N,14,FALSE)</f>
        <v>#N/A</v>
      </c>
    </row>
    <row r="1410" spans="1:21" ht="16.5" customHeight="1">
      <c r="A1410" s="159" t="s">
        <v>264</v>
      </c>
      <c r="B1410" s="114" t="str">
        <f>VLOOKUP(A1410,'Data pick slip'!B:F,5,FALSE)</f>
        <v>KHJ-MC200-00</v>
      </c>
      <c r="F1410" s="157" t="s">
        <v>379</v>
      </c>
      <c r="H1410" s="138">
        <v>297</v>
      </c>
      <c r="I1410" s="139" t="e">
        <f>VLOOKUP(H1410,Stock_list!A:R,18,FALSE)</f>
        <v>#N/A</v>
      </c>
      <c r="J1410" s="139" t="e">
        <f>VLOOKUP(H1410,Stock_list!A:S,17,FALSE)</f>
        <v>#N/A</v>
      </c>
      <c r="K1410" s="51" t="e">
        <f>VLOOKUP(H1410,Stock_list!A:T,16,FALSE)</f>
        <v>#N/A</v>
      </c>
      <c r="L1410" s="4">
        <v>43651</v>
      </c>
      <c r="M1410" s="132">
        <v>10</v>
      </c>
      <c r="P1410" s="4" t="e">
        <f>VLOOKUP(H1410,Stock_list!A:Y,25,FALSE)</f>
        <v>#N/A</v>
      </c>
      <c r="Q1410" s="143"/>
      <c r="T1410" s="144"/>
      <c r="U1410" s="145" t="e">
        <f>VLOOKUP(H1410,Stock_list!A:N,14,FALSE)</f>
        <v>#N/A</v>
      </c>
    </row>
    <row r="1411" spans="1:21" ht="16.5" customHeight="1">
      <c r="A1411" s="159" t="s">
        <v>265</v>
      </c>
      <c r="B1411" s="114" t="str">
        <f>VLOOKUP(A1411,'Data pick slip'!B:F,5,FALSE)</f>
        <v>KHJ-MC400-00</v>
      </c>
      <c r="F1411" s="157" t="s">
        <v>379</v>
      </c>
      <c r="H1411" s="138">
        <v>297</v>
      </c>
      <c r="I1411" s="139" t="e">
        <f>VLOOKUP(H1411,Stock_list!A:R,18,FALSE)</f>
        <v>#N/A</v>
      </c>
      <c r="J1411" s="139" t="e">
        <f>VLOOKUP(H1411,Stock_list!A:S,17,FALSE)</f>
        <v>#N/A</v>
      </c>
      <c r="K1411" s="51" t="e">
        <f>VLOOKUP(H1411,Stock_list!A:T,16,FALSE)</f>
        <v>#N/A</v>
      </c>
      <c r="L1411" s="4">
        <v>43651</v>
      </c>
      <c r="M1411" s="132">
        <v>4</v>
      </c>
      <c r="P1411" s="4" t="e">
        <f>VLOOKUP(H1411,Stock_list!A:Y,25,FALSE)</f>
        <v>#N/A</v>
      </c>
      <c r="Q1411" s="143"/>
      <c r="T1411" s="144"/>
      <c r="U1411" s="145" t="e">
        <f>VLOOKUP(H1411,Stock_list!A:N,14,FALSE)</f>
        <v>#N/A</v>
      </c>
    </row>
    <row r="1412" spans="1:21" ht="16.5" customHeight="1">
      <c r="A1412" s="159" t="s">
        <v>261</v>
      </c>
      <c r="B1412" s="114" t="str">
        <f>VLOOKUP(A1412,'Data pick slip'!B:F,5,FALSE)</f>
        <v>KHJ-MC100-00</v>
      </c>
      <c r="F1412" s="157" t="s">
        <v>290</v>
      </c>
      <c r="I1412" s="139" t="s">
        <v>371</v>
      </c>
      <c r="J1412" s="141" t="s">
        <v>608</v>
      </c>
      <c r="K1412" s="51" t="s">
        <v>520</v>
      </c>
      <c r="L1412" s="4">
        <v>43590</v>
      </c>
      <c r="M1412" s="140">
        <v>2</v>
      </c>
      <c r="P1412" s="4" t="s">
        <v>214</v>
      </c>
      <c r="Q1412" s="143"/>
      <c r="S1412" s="123" t="s">
        <v>521</v>
      </c>
      <c r="T1412" s="205" t="s">
        <v>607</v>
      </c>
      <c r="U1412" s="145" t="e">
        <f>VLOOKUP(H1412,Stock_list!A:N,14,FALSE)</f>
        <v>#N/A</v>
      </c>
    </row>
    <row r="1413" spans="1:21" ht="16.5" customHeight="1">
      <c r="A1413" s="159" t="s">
        <v>261</v>
      </c>
      <c r="B1413" s="114" t="str">
        <f>VLOOKUP(A1413,'Data pick slip'!B:F,5,FALSE)</f>
        <v>KHJ-MC100-00</v>
      </c>
      <c r="F1413" s="157" t="s">
        <v>290</v>
      </c>
      <c r="I1413" s="139" t="s">
        <v>371</v>
      </c>
      <c r="J1413" s="139" t="s">
        <v>609</v>
      </c>
      <c r="K1413" s="51" t="s">
        <v>520</v>
      </c>
      <c r="L1413" s="4">
        <v>43583</v>
      </c>
      <c r="M1413" s="140">
        <v>10</v>
      </c>
      <c r="P1413" s="4" t="s">
        <v>214</v>
      </c>
      <c r="Q1413" s="143"/>
      <c r="S1413" s="123" t="s">
        <v>521</v>
      </c>
      <c r="T1413" s="205" t="s">
        <v>610</v>
      </c>
      <c r="U1413" s="145" t="e">
        <f>VLOOKUP(H1413,Stock_list!A:N,14,FALSE)</f>
        <v>#N/A</v>
      </c>
    </row>
    <row r="1414" spans="1:21" ht="16.5" customHeight="1">
      <c r="A1414" s="159" t="s">
        <v>272</v>
      </c>
      <c r="B1414" s="114" t="str">
        <f>VLOOKUP(A1414,'Data pick slip'!B:F,5,FALSE)</f>
        <v>KLJ-MC100-00</v>
      </c>
      <c r="F1414" s="157" t="s">
        <v>290</v>
      </c>
      <c r="I1414" s="139" t="s">
        <v>611</v>
      </c>
      <c r="J1414" s="139" t="s">
        <v>612</v>
      </c>
      <c r="K1414" s="51" t="s">
        <v>225</v>
      </c>
      <c r="L1414" s="4">
        <v>43594</v>
      </c>
      <c r="M1414" s="140">
        <v>1</v>
      </c>
      <c r="P1414" s="4" t="s">
        <v>214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273</v>
      </c>
      <c r="B1415" s="114" t="str">
        <f>VLOOKUP(A1415,'Data pick slip'!B:F,5,FALSE)</f>
        <v>KLJ-MC200-00</v>
      </c>
      <c r="F1415" s="157" t="s">
        <v>379</v>
      </c>
      <c r="H1415" s="138">
        <v>302</v>
      </c>
      <c r="I1415" s="139" t="e">
        <f>VLOOKUP(H1415,Stock_list!A:R,18,FALSE)</f>
        <v>#N/A</v>
      </c>
      <c r="J1415" s="139" t="e">
        <f>VLOOKUP(H1415,Stock_list!A:S,17,FALSE)</f>
        <v>#N/A</v>
      </c>
      <c r="K1415" s="51" t="e">
        <f>VLOOKUP(H1415,Stock_list!A:T,16,FALSE)</f>
        <v>#N/A</v>
      </c>
      <c r="L1415" s="4">
        <v>43640</v>
      </c>
      <c r="M1415" s="132">
        <v>15</v>
      </c>
      <c r="P1415" s="4" t="e">
        <f>VLOOKUP(H1415,Stock_list!A:Y,25,FALSE)</f>
        <v>#N/A</v>
      </c>
      <c r="T1415" s="144"/>
      <c r="U1415" s="145" t="e">
        <f>VLOOKUP(H1415,Stock_list!A:N,14,FALSE)</f>
        <v>#N/A</v>
      </c>
    </row>
    <row r="1416" spans="1:21" ht="16.5" customHeight="1">
      <c r="A1416" s="159" t="s">
        <v>274</v>
      </c>
      <c r="B1416" s="114" t="str">
        <f>VLOOKUP(A1416,'Data pick slip'!B:F,5,FALSE)</f>
        <v>KLJ-MC400-00</v>
      </c>
      <c r="F1416" s="157" t="s">
        <v>379</v>
      </c>
      <c r="H1416" s="138">
        <v>302</v>
      </c>
      <c r="I1416" s="139" t="e">
        <f>VLOOKUP(H1416,Stock_list!A:R,18,FALSE)</f>
        <v>#N/A</v>
      </c>
      <c r="J1416" s="139" t="e">
        <f>VLOOKUP(H1416,Stock_list!A:S,17,FALSE)</f>
        <v>#N/A</v>
      </c>
      <c r="K1416" s="51" t="e">
        <f>VLOOKUP(H1416,Stock_list!A:T,16,FALSE)</f>
        <v>#N/A</v>
      </c>
      <c r="L1416" s="4">
        <v>43640</v>
      </c>
      <c r="M1416" s="132">
        <v>1</v>
      </c>
      <c r="P1416" s="4" t="e">
        <f>VLOOKUP(H1416,Stock_list!A:Y,25,FALSE)</f>
        <v>#N/A</v>
      </c>
      <c r="Q1416" s="143"/>
      <c r="T1416" s="144"/>
      <c r="U1416" s="145" t="e">
        <f>VLOOKUP(H1416,Stock_list!A:N,14,FALSE)</f>
        <v>#N/A</v>
      </c>
    </row>
    <row r="1417" spans="1:21" ht="16.5" customHeight="1">
      <c r="A1417" s="159" t="s">
        <v>261</v>
      </c>
      <c r="B1417" s="114" t="str">
        <f>VLOOKUP(A1417,'Data pick slip'!B:F,5,FALSE)</f>
        <v>KHJ-MC100-00</v>
      </c>
      <c r="F1417" s="157" t="s">
        <v>379</v>
      </c>
      <c r="H1417" s="138">
        <v>303</v>
      </c>
      <c r="I1417" s="139" t="e">
        <f>VLOOKUP(H1417,Stock_list!A:R,18,FALSE)</f>
        <v>#N/A</v>
      </c>
      <c r="J1417" s="139" t="e">
        <f>VLOOKUP(H1417,Stock_list!A:S,17,FALSE)</f>
        <v>#N/A</v>
      </c>
      <c r="K1417" s="51" t="e">
        <f>VLOOKUP(H1417,Stock_list!A:T,16,FALSE)</f>
        <v>#N/A</v>
      </c>
      <c r="L1417" s="4">
        <v>43663</v>
      </c>
      <c r="M1417" s="132">
        <v>100</v>
      </c>
      <c r="P1417" s="4" t="e">
        <f>VLOOKUP(H1417,Stock_list!A:Y,25,FALSE)</f>
        <v>#N/A</v>
      </c>
      <c r="Q1417" s="143"/>
      <c r="T1417" s="144"/>
      <c r="U1417" s="145" t="e">
        <f>VLOOKUP(H1417,Stock_list!A:N,14,FALSE)</f>
        <v>#N/A</v>
      </c>
    </row>
    <row r="1418" spans="1:21" ht="16.5" customHeight="1">
      <c r="A1418" s="159" t="s">
        <v>261</v>
      </c>
      <c r="B1418" s="114" t="str">
        <f>VLOOKUP(A1418,'Data pick slip'!B:F,5,FALSE)</f>
        <v>KHJ-MC100-00</v>
      </c>
      <c r="F1418" s="157" t="s">
        <v>379</v>
      </c>
      <c r="H1418" s="138">
        <v>305</v>
      </c>
      <c r="I1418" s="139" t="e">
        <f>VLOOKUP(H1418,Stock_list!A:R,18,FALSE)</f>
        <v>#N/A</v>
      </c>
      <c r="J1418" s="139" t="e">
        <f>VLOOKUP(H1418,Stock_list!A:S,17,FALSE)</f>
        <v>#N/A</v>
      </c>
      <c r="K1418" s="51" t="e">
        <f>VLOOKUP(H1418,Stock_list!A:T,16,FALSE)</f>
        <v>#N/A</v>
      </c>
      <c r="L1418" s="4">
        <v>43664</v>
      </c>
      <c r="M1418" s="132">
        <v>396</v>
      </c>
      <c r="P1418" s="4" t="e">
        <f>VLOOKUP(H1418,Stock_list!A:Y,25,FALSE)</f>
        <v>#N/A</v>
      </c>
      <c r="Q1418" s="143"/>
      <c r="T1418" s="144"/>
      <c r="U1418" s="145" t="e">
        <f>VLOOKUP(H1418,Stock_list!A:N,14,FALSE)</f>
        <v>#N/A</v>
      </c>
    </row>
    <row r="1419" spans="1:21" ht="16.5" customHeight="1">
      <c r="A1419" s="159" t="s">
        <v>264</v>
      </c>
      <c r="B1419" s="114" t="str">
        <f>VLOOKUP(A1419,'Data pick slip'!B:F,5,FALSE)</f>
        <v>KHJ-MC200-00</v>
      </c>
      <c r="F1419" s="157" t="s">
        <v>379</v>
      </c>
      <c r="H1419" s="138">
        <v>305</v>
      </c>
      <c r="I1419" s="139" t="e">
        <f>VLOOKUP(H1419,Stock_list!A:R,18,FALSE)</f>
        <v>#N/A</v>
      </c>
      <c r="J1419" s="139" t="e">
        <f>VLOOKUP(H1419,Stock_list!A:S,17,FALSE)</f>
        <v>#N/A</v>
      </c>
      <c r="K1419" s="51" t="e">
        <f>VLOOKUP(H1419,Stock_list!A:T,16,FALSE)</f>
        <v>#N/A</v>
      </c>
      <c r="L1419" s="4">
        <v>43664</v>
      </c>
      <c r="M1419" s="132">
        <v>60</v>
      </c>
      <c r="P1419" s="4" t="e">
        <f>VLOOKUP(H1419,Stock_list!A:Y,25,FALSE)</f>
        <v>#N/A</v>
      </c>
      <c r="Q1419" s="143"/>
      <c r="T1419" s="144"/>
      <c r="U1419" s="145" t="e">
        <f>VLOOKUP(H1419,Stock_list!A:N,14,FALSE)</f>
        <v>#N/A</v>
      </c>
    </row>
    <row r="1420" spans="1:21" ht="16.5" customHeight="1">
      <c r="A1420" s="159" t="s">
        <v>265</v>
      </c>
      <c r="B1420" s="114" t="str">
        <f>VLOOKUP(A1420,'Data pick slip'!B:F,5,FALSE)</f>
        <v>KHJ-MC400-00</v>
      </c>
      <c r="F1420" s="157" t="s">
        <v>379</v>
      </c>
      <c r="H1420" s="138">
        <v>305</v>
      </c>
      <c r="I1420" s="139" t="e">
        <f>VLOOKUP(H1420,Stock_list!A:R,18,FALSE)</f>
        <v>#N/A</v>
      </c>
      <c r="J1420" s="139" t="e">
        <f>VLOOKUP(H1420,Stock_list!A:S,17,FALSE)</f>
        <v>#N/A</v>
      </c>
      <c r="K1420" s="51" t="e">
        <f>VLOOKUP(H1420,Stock_list!A:T,16,FALSE)</f>
        <v>#N/A</v>
      </c>
      <c r="L1420" s="4">
        <v>43664</v>
      </c>
      <c r="M1420" s="132">
        <v>20</v>
      </c>
      <c r="P1420" s="4" t="e">
        <f>VLOOKUP(H1420,Stock_list!A:Y,25,FALSE)</f>
        <v>#N/A</v>
      </c>
      <c r="Q1420" s="143"/>
      <c r="T1420" s="144"/>
      <c r="U1420" s="145" t="e">
        <f>VLOOKUP(H1420,Stock_list!A:N,14,FALSE)</f>
        <v>#N/A</v>
      </c>
    </row>
    <row r="1421" spans="1:21" ht="16.5" customHeight="1">
      <c r="A1421" s="159" t="s">
        <v>266</v>
      </c>
      <c r="B1421" s="114" t="str">
        <f>VLOOKUP(A1421,'Data pick slip'!B:F,5,FALSE)</f>
        <v>KHJ-MC500-00</v>
      </c>
      <c r="F1421" s="157" t="s">
        <v>379</v>
      </c>
      <c r="H1421" s="138">
        <v>305</v>
      </c>
      <c r="I1421" s="139" t="e">
        <f>VLOOKUP(H1421,Stock_list!A:R,18,FALSE)</f>
        <v>#N/A</v>
      </c>
      <c r="J1421" s="139" t="e">
        <f>VLOOKUP(H1421,Stock_list!A:S,17,FALSE)</f>
        <v>#N/A</v>
      </c>
      <c r="K1421" s="51" t="e">
        <f>VLOOKUP(H1421,Stock_list!A:T,16,FALSE)</f>
        <v>#N/A</v>
      </c>
      <c r="L1421" s="4">
        <v>43664</v>
      </c>
      <c r="M1421" s="132">
        <v>11</v>
      </c>
      <c r="P1421" s="4" t="e">
        <f>VLOOKUP(H1421,Stock_list!A:Y,25,FALSE)</f>
        <v>#N/A</v>
      </c>
      <c r="Q1421" s="143"/>
      <c r="T1421" s="144"/>
      <c r="U1421" s="145" t="e">
        <f>VLOOKUP(H1421,Stock_list!A:N,14,FALSE)</f>
        <v>#N/A</v>
      </c>
    </row>
    <row r="1422" spans="1:21" ht="16.5" customHeight="1">
      <c r="A1422" s="159" t="s">
        <v>266</v>
      </c>
      <c r="B1422" s="114" t="str">
        <f>VLOOKUP(A1422,'Data pick slip'!B:F,5,FALSE)</f>
        <v>KHJ-MC500-00</v>
      </c>
      <c r="F1422" s="157" t="s">
        <v>290</v>
      </c>
      <c r="H1422" s="138">
        <v>305</v>
      </c>
      <c r="I1422" s="139" t="e">
        <f>VLOOKUP(H1422,Stock_list!A:R,18,FALSE)</f>
        <v>#N/A</v>
      </c>
      <c r="J1422" s="139" t="e">
        <f>VLOOKUP(H1422,Stock_list!A:S,17,FALSE)</f>
        <v>#N/A</v>
      </c>
      <c r="K1422" s="51" t="e">
        <f>VLOOKUP(H1422,Stock_list!A:T,16,FALSE)</f>
        <v>#N/A</v>
      </c>
      <c r="L1422" s="4">
        <v>43664</v>
      </c>
      <c r="M1422" s="132">
        <v>2</v>
      </c>
      <c r="P1422" s="4" t="e">
        <f>VLOOKUP(H1422,Stock_list!A:Y,25,FALSE)</f>
        <v>#N/A</v>
      </c>
      <c r="Q1422" s="143"/>
      <c r="S1422" s="123" t="s">
        <v>521</v>
      </c>
      <c r="T1422" s="205" t="s">
        <v>591</v>
      </c>
      <c r="U1422" s="145" t="e">
        <f>VLOOKUP(H1422,Stock_list!A:N,14,FALSE)</f>
        <v>#N/A</v>
      </c>
    </row>
    <row r="1423" spans="1:21" ht="16.5" customHeight="1">
      <c r="A1423" s="159" t="s">
        <v>266</v>
      </c>
      <c r="B1423" s="114" t="str">
        <f>VLOOKUP(A1423,'Data pick slip'!B:F,5,FALSE)</f>
        <v>KHJ-MC500-00</v>
      </c>
      <c r="F1423" s="157" t="s">
        <v>290</v>
      </c>
      <c r="H1423" s="138">
        <v>305</v>
      </c>
      <c r="I1423" s="139" t="e">
        <f>VLOOKUP(H1423,Stock_list!A:R,18,FALSE)</f>
        <v>#N/A</v>
      </c>
      <c r="J1423" s="139" t="e">
        <f>VLOOKUP(H1423,Stock_list!A:S,17,FALSE)</f>
        <v>#N/A</v>
      </c>
      <c r="K1423" s="51" t="e">
        <f>VLOOKUP(H1423,Stock_list!A:T,16,FALSE)</f>
        <v>#N/A</v>
      </c>
      <c r="L1423" s="4">
        <v>43602</v>
      </c>
      <c r="M1423" s="140">
        <v>2</v>
      </c>
      <c r="P1423" s="4" t="e">
        <f>VLOOKUP(H1423,Stock_list!A:Y,25,FALSE)</f>
        <v>#N/A</v>
      </c>
      <c r="Q1423" s="143"/>
      <c r="S1423" s="123" t="s">
        <v>521</v>
      </c>
      <c r="T1423" s="205" t="s">
        <v>591</v>
      </c>
      <c r="U1423" s="145" t="e">
        <f>VLOOKUP(H1423,Stock_list!A:N,14,FALSE)</f>
        <v>#N/A</v>
      </c>
    </row>
    <row r="1424" spans="1:21" ht="16.5" customHeight="1">
      <c r="A1424" s="159" t="s">
        <v>267</v>
      </c>
      <c r="B1424" s="114" t="str">
        <f>VLOOKUP(A1424,'Data pick slip'!B:F,5,FALSE)</f>
        <v>KHJ-MC600-00</v>
      </c>
      <c r="F1424" s="157" t="s">
        <v>379</v>
      </c>
      <c r="H1424" s="138">
        <v>305</v>
      </c>
      <c r="I1424" s="139" t="e">
        <f>VLOOKUP(H1424,Stock_list!A:R,18,FALSE)</f>
        <v>#N/A</v>
      </c>
      <c r="J1424" s="139" t="e">
        <f>VLOOKUP(H1424,Stock_list!A:S,17,FALSE)</f>
        <v>#N/A</v>
      </c>
      <c r="K1424" s="51" t="e">
        <f>VLOOKUP(H1424,Stock_list!A:T,16,FALSE)</f>
        <v>#N/A</v>
      </c>
      <c r="L1424" s="4">
        <v>43664</v>
      </c>
      <c r="M1424" s="140">
        <v>2</v>
      </c>
      <c r="P1424" s="4" t="e">
        <f>VLOOKUP(H1424,Stock_list!A:Y,25,FALSE)</f>
        <v>#N/A</v>
      </c>
      <c r="Q1424" s="143"/>
      <c r="T1424" s="144"/>
      <c r="U1424" s="145" t="e">
        <f>VLOOKUP(H1424,Stock_list!A:N,14,FALSE)</f>
        <v>#N/A</v>
      </c>
    </row>
    <row r="1425" spans="1:21" ht="16.5" customHeight="1">
      <c r="A1425" s="159" t="s">
        <v>274</v>
      </c>
      <c r="B1425" s="114" t="str">
        <f>VLOOKUP(A1425,'Data pick slip'!B:F,5,FALSE)</f>
        <v>KLJ-MC400-00</v>
      </c>
      <c r="F1425" s="157" t="s">
        <v>290</v>
      </c>
      <c r="H1425" s="138">
        <v>460</v>
      </c>
      <c r="I1425" s="139" t="e">
        <f>VLOOKUP(H1425,Stock_list!A:R,18,FALSE)</f>
        <v>#N/A</v>
      </c>
      <c r="J1425" s="139" t="e">
        <f>VLOOKUP(H1425,Stock_list!A:S,17,FALSE)</f>
        <v>#N/A</v>
      </c>
      <c r="K1425" s="51" t="e">
        <f>VLOOKUP(H1425,Stock_list!A:T,16,FALSE)</f>
        <v>#N/A</v>
      </c>
      <c r="L1425" s="4"/>
      <c r="O1425" s="132">
        <f>7-7</f>
        <v>0</v>
      </c>
      <c r="P1425" s="4" t="e">
        <f>VLOOKUP(H1425,Stock_list!A:Y,25,FALSE)</f>
        <v>#N/A</v>
      </c>
      <c r="Q1425" s="143"/>
      <c r="T1425" s="205"/>
      <c r="U1425" s="145" t="e">
        <f>VLOOKUP(H1425,Stock_list!A:N,14,FALSE)</f>
        <v>#N/A</v>
      </c>
    </row>
    <row r="1426" spans="1:21" ht="16.5" customHeight="1">
      <c r="A1426" s="159" t="s">
        <v>264</v>
      </c>
      <c r="B1426" s="114" t="str">
        <f>VLOOKUP(A1426,'Data pick slip'!B:F,5,FALSE)</f>
        <v>KHJ-MC200-00</v>
      </c>
      <c r="F1426" s="157" t="s">
        <v>290</v>
      </c>
      <c r="I1426" s="139" t="s">
        <v>611</v>
      </c>
      <c r="J1426" s="139" t="s">
        <v>613</v>
      </c>
      <c r="K1426" s="51" t="s">
        <v>225</v>
      </c>
      <c r="L1426" s="4">
        <v>43607</v>
      </c>
      <c r="M1426" s="132">
        <v>5</v>
      </c>
      <c r="P1426" s="4" t="s">
        <v>214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265</v>
      </c>
      <c r="B1427" s="114" t="str">
        <f>VLOOKUP(A1427,'Data pick slip'!B:F,5,FALSE)</f>
        <v>KHJ-MC400-00</v>
      </c>
      <c r="F1427" s="157" t="s">
        <v>290</v>
      </c>
      <c r="I1427" s="139" t="s">
        <v>611</v>
      </c>
      <c r="J1427" s="139" t="s">
        <v>613</v>
      </c>
      <c r="K1427" s="51" t="s">
        <v>225</v>
      </c>
      <c r="L1427" s="4">
        <v>43607</v>
      </c>
      <c r="M1427" s="132">
        <v>1</v>
      </c>
      <c r="P1427" s="4" t="s">
        <v>214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266</v>
      </c>
      <c r="B1428" s="114" t="str">
        <f>VLOOKUP(A1428,'Data pick slip'!B:F,5,FALSE)</f>
        <v>KHJ-MC500-00</v>
      </c>
      <c r="F1428" s="157" t="s">
        <v>290</v>
      </c>
      <c r="I1428" s="139" t="s">
        <v>611</v>
      </c>
      <c r="J1428" s="139" t="s">
        <v>613</v>
      </c>
      <c r="K1428" s="51" t="s">
        <v>225</v>
      </c>
      <c r="L1428" s="4">
        <v>43607</v>
      </c>
      <c r="M1428" s="132">
        <v>1</v>
      </c>
      <c r="P1428" s="4" t="s">
        <v>214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261</v>
      </c>
      <c r="B1429" s="114" t="str">
        <f>VLOOKUP(A1429,'Data pick slip'!B:F,5,FALSE)</f>
        <v>KHJ-MC100-00</v>
      </c>
      <c r="F1429" s="157" t="s">
        <v>290</v>
      </c>
      <c r="I1429" s="139" t="s">
        <v>611</v>
      </c>
      <c r="J1429" s="139" t="s">
        <v>614</v>
      </c>
      <c r="K1429" s="51" t="s">
        <v>225</v>
      </c>
      <c r="L1429" s="4">
        <v>43598</v>
      </c>
      <c r="M1429" s="140">
        <v>5</v>
      </c>
      <c r="P1429" s="4" t="s">
        <v>214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261</v>
      </c>
      <c r="B1430" s="114" t="str">
        <f>VLOOKUP(A1430,'Data pick slip'!B:F,5,FALSE)</f>
        <v>KHJ-MC100-00</v>
      </c>
      <c r="F1430" s="157" t="s">
        <v>290</v>
      </c>
      <c r="H1430" s="138">
        <v>310</v>
      </c>
      <c r="I1430" s="139" t="e">
        <f>VLOOKUP(H1430,Stock_list!A:R,18,FALSE)</f>
        <v>#N/A</v>
      </c>
      <c r="J1430" s="139" t="e">
        <f>VLOOKUP(H1430,Stock_list!A:S,17,FALSE)</f>
        <v>#N/A</v>
      </c>
      <c r="K1430" s="51" t="e">
        <f>VLOOKUP(H1430,Stock_list!A:T,16,FALSE)</f>
        <v>#N/A</v>
      </c>
      <c r="L1430" s="4">
        <v>43665</v>
      </c>
      <c r="M1430" s="132">
        <v>20</v>
      </c>
      <c r="P1430" s="4" t="e">
        <f>VLOOKUP(H1430,Stock_list!A:Y,25,FALSE)</f>
        <v>#N/A</v>
      </c>
      <c r="Q1430" s="143"/>
      <c r="T1430" s="144"/>
      <c r="U1430" s="145" t="e">
        <f>VLOOKUP(H1430,Stock_list!A:N,14,FALSE)</f>
        <v>#N/A</v>
      </c>
    </row>
    <row r="1431" spans="1:21" ht="16.5" customHeight="1">
      <c r="A1431" s="159" t="s">
        <v>264</v>
      </c>
      <c r="B1431" s="114" t="str">
        <f>VLOOKUP(A1431,'Data pick slip'!B:F,5,FALSE)</f>
        <v>KHJ-MC200-00</v>
      </c>
      <c r="F1431" s="157" t="s">
        <v>290</v>
      </c>
      <c r="H1431" s="138">
        <v>310</v>
      </c>
      <c r="I1431" s="139" t="e">
        <f>VLOOKUP(H1431,Stock_list!A:R,18,FALSE)</f>
        <v>#N/A</v>
      </c>
      <c r="J1431" s="139" t="e">
        <f>VLOOKUP(H1431,Stock_list!A:S,17,FALSE)</f>
        <v>#N/A</v>
      </c>
      <c r="K1431" s="51" t="e">
        <f>VLOOKUP(H1431,Stock_list!A:T,16,FALSE)</f>
        <v>#N/A</v>
      </c>
      <c r="L1431" s="4">
        <v>43665</v>
      </c>
      <c r="M1431" s="132">
        <v>2</v>
      </c>
      <c r="P1431" s="4" t="e">
        <f>VLOOKUP(H1431,Stock_list!A:Y,25,FALSE)</f>
        <v>#N/A</v>
      </c>
      <c r="Q1431" s="143"/>
      <c r="T1431" s="144"/>
      <c r="U1431" s="145" t="e">
        <f>VLOOKUP(H1431,Stock_list!A:N,14,FALSE)</f>
        <v>#N/A</v>
      </c>
    </row>
    <row r="1432" spans="1:21" ht="16.5" customHeight="1">
      <c r="A1432" s="159" t="s">
        <v>265</v>
      </c>
      <c r="B1432" s="114" t="str">
        <f>VLOOKUP(A1432,'Data pick slip'!B:F,5,FALSE)</f>
        <v>KHJ-MC400-00</v>
      </c>
      <c r="F1432" s="157" t="s">
        <v>290</v>
      </c>
      <c r="H1432" s="138">
        <v>310</v>
      </c>
      <c r="I1432" s="139" t="e">
        <f>VLOOKUP(H1432,Stock_list!A:R,18,FALSE)</f>
        <v>#N/A</v>
      </c>
      <c r="J1432" s="139" t="e">
        <f>VLOOKUP(H1432,Stock_list!A:S,17,FALSE)</f>
        <v>#N/A</v>
      </c>
      <c r="K1432" s="51" t="e">
        <f>VLOOKUP(H1432,Stock_list!A:T,16,FALSE)</f>
        <v>#N/A</v>
      </c>
      <c r="L1432" s="4">
        <v>43665</v>
      </c>
      <c r="M1432" s="132">
        <v>2</v>
      </c>
      <c r="P1432" s="4" t="e">
        <f>VLOOKUP(H1432,Stock_list!A:Y,25,FALSE)</f>
        <v>#N/A</v>
      </c>
      <c r="Q1432" s="143"/>
      <c r="T1432" s="144"/>
      <c r="U1432" s="145" t="e">
        <f>VLOOKUP(H1432,Stock_list!A:N,14,FALSE)</f>
        <v>#N/A</v>
      </c>
    </row>
    <row r="1433" spans="1:21" ht="16.5" customHeight="1">
      <c r="A1433" s="159" t="s">
        <v>261</v>
      </c>
      <c r="B1433" s="114" t="str">
        <f>VLOOKUP(A1433,'Data pick slip'!B:F,5,FALSE)</f>
        <v>KHJ-MC100-00</v>
      </c>
      <c r="F1433" s="157" t="s">
        <v>290</v>
      </c>
      <c r="I1433" s="139" t="s">
        <v>611</v>
      </c>
      <c r="J1433" s="139" t="s">
        <v>615</v>
      </c>
      <c r="K1433" s="51" t="s">
        <v>225</v>
      </c>
      <c r="L1433" s="4">
        <v>43599</v>
      </c>
      <c r="M1433" s="140">
        <v>15</v>
      </c>
      <c r="P1433" s="4" t="s">
        <v>214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261</v>
      </c>
      <c r="B1434" s="114" t="str">
        <f>VLOOKUP(A1434,'Data pick slip'!B:F,5,FALSE)</f>
        <v>KHJ-MC100-00</v>
      </c>
      <c r="F1434" s="157" t="s">
        <v>379</v>
      </c>
      <c r="H1434" s="138">
        <v>311</v>
      </c>
      <c r="I1434" s="139" t="e">
        <f>VLOOKUP(H1434,Stock_list!A:R,18,FALSE)</f>
        <v>#N/A</v>
      </c>
      <c r="J1434" s="139" t="e">
        <f>VLOOKUP(H1434,Stock_list!A:S,17,FALSE)</f>
        <v>#N/A</v>
      </c>
      <c r="K1434" s="51" t="e">
        <f>VLOOKUP(H1434,Stock_list!A:T,16,FALSE)</f>
        <v>#N/A</v>
      </c>
      <c r="L1434" s="4">
        <v>43642</v>
      </c>
      <c r="M1434" s="132">
        <v>32</v>
      </c>
      <c r="P1434" s="4" t="e">
        <f>VLOOKUP(H1434,Stock_list!A:Y,25,FALSE)</f>
        <v>#N/A</v>
      </c>
      <c r="Q1434" s="143"/>
      <c r="T1434" s="144"/>
      <c r="U1434" s="145" t="e">
        <f>VLOOKUP(H1434,Stock_list!A:N,14,FALSE)</f>
        <v>#N/A</v>
      </c>
    </row>
    <row r="1435" spans="1:21" ht="16.5" customHeight="1">
      <c r="A1435" s="159" t="s">
        <v>264</v>
      </c>
      <c r="B1435" s="114" t="str">
        <f>VLOOKUP(A1435,'Data pick slip'!B:F,5,FALSE)</f>
        <v>KHJ-MC200-00</v>
      </c>
      <c r="F1435" s="157" t="s">
        <v>379</v>
      </c>
      <c r="H1435" s="138">
        <v>311</v>
      </c>
      <c r="I1435" s="139" t="e">
        <f>VLOOKUP(H1435,Stock_list!A:R,18,FALSE)</f>
        <v>#N/A</v>
      </c>
      <c r="J1435" s="139" t="e">
        <f>VLOOKUP(H1435,Stock_list!A:S,17,FALSE)</f>
        <v>#N/A</v>
      </c>
      <c r="K1435" s="51" t="e">
        <f>VLOOKUP(H1435,Stock_list!A:T,16,FALSE)</f>
        <v>#N/A</v>
      </c>
      <c r="L1435" s="4">
        <v>43642</v>
      </c>
      <c r="M1435" s="132">
        <v>2</v>
      </c>
      <c r="P1435" s="4" t="e">
        <f>VLOOKUP(H1435,Stock_list!A:Y,25,FALSE)</f>
        <v>#N/A</v>
      </c>
      <c r="Q1435" s="143"/>
      <c r="S1435" s="146"/>
      <c r="T1435" s="146"/>
      <c r="U1435" s="145" t="e">
        <f>VLOOKUP(H1435,Stock_list!A:N,14,FALSE)</f>
        <v>#N/A</v>
      </c>
    </row>
    <row r="1436" spans="1:21" ht="16.5" customHeight="1">
      <c r="A1436" s="159" t="s">
        <v>265</v>
      </c>
      <c r="B1436" s="114" t="str">
        <f>VLOOKUP(A1436,'Data pick slip'!B:F,5,FALSE)</f>
        <v>KHJ-MC400-00</v>
      </c>
      <c r="F1436" s="157" t="s">
        <v>290</v>
      </c>
      <c r="H1436" s="138">
        <v>311</v>
      </c>
      <c r="I1436" s="139" t="e">
        <f>VLOOKUP(H1436,Stock_list!A:R,18,FALSE)</f>
        <v>#N/A</v>
      </c>
      <c r="J1436" s="139" t="e">
        <f>VLOOKUP(H1436,Stock_list!A:S,17,FALSE)</f>
        <v>#N/A</v>
      </c>
      <c r="K1436" s="51" t="e">
        <f>VLOOKUP(H1436,Stock_list!A:T,16,FALSE)</f>
        <v>#N/A</v>
      </c>
      <c r="L1436" s="4">
        <v>43642</v>
      </c>
      <c r="M1436" s="132">
        <v>1</v>
      </c>
      <c r="P1436" s="4" t="e">
        <f>VLOOKUP(H1436,Stock_list!A:Y,25,FALSE)</f>
        <v>#N/A</v>
      </c>
      <c r="Q1436" s="143"/>
      <c r="S1436" s="123" t="s">
        <v>521</v>
      </c>
      <c r="T1436" s="205" t="s">
        <v>602</v>
      </c>
      <c r="U1436" s="145" t="e">
        <f>VLOOKUP(H1436,Stock_list!A:N,14,FALSE)</f>
        <v>#N/A</v>
      </c>
    </row>
    <row r="1437" spans="1:21" ht="16.5" customHeight="1">
      <c r="A1437" s="159" t="s">
        <v>261</v>
      </c>
      <c r="B1437" s="114" t="str">
        <f>VLOOKUP(A1437,'Data pick slip'!B:F,5,FALSE)</f>
        <v>KHJ-MC100-00</v>
      </c>
      <c r="F1437" s="157" t="s">
        <v>290</v>
      </c>
      <c r="H1437" s="138">
        <v>312</v>
      </c>
      <c r="I1437" s="139" t="e">
        <f>VLOOKUP(H1437,Stock_list!A:R,18,FALSE)</f>
        <v>#N/A</v>
      </c>
      <c r="J1437" s="139" t="e">
        <f>VLOOKUP(H1437,Stock_list!A:S,17,FALSE)</f>
        <v>#N/A</v>
      </c>
      <c r="K1437" s="51" t="e">
        <f>VLOOKUP(H1437,Stock_list!A:T,16,FALSE)</f>
        <v>#N/A</v>
      </c>
      <c r="L1437" s="4">
        <v>43753</v>
      </c>
      <c r="M1437" s="132">
        <v>60</v>
      </c>
      <c r="P1437" s="4" t="e">
        <f>VLOOKUP(H1437,Stock_list!A:Y,25,FALSE)</f>
        <v>#N/A</v>
      </c>
      <c r="Q1437" s="143"/>
      <c r="T1437" s="144"/>
      <c r="U1437" s="145" t="e">
        <f>VLOOKUP(H1437,Stock_list!A:N,14,FALSE)</f>
        <v>#N/A</v>
      </c>
    </row>
    <row r="1438" spans="1:21" ht="16.5" customHeight="1">
      <c r="A1438" s="159" t="s">
        <v>264</v>
      </c>
      <c r="B1438" s="114" t="str">
        <f>VLOOKUP(A1438,'Data pick slip'!B:F,5,FALSE)</f>
        <v>KHJ-MC200-00</v>
      </c>
      <c r="F1438" s="157" t="s">
        <v>290</v>
      </c>
      <c r="H1438" s="138">
        <v>312</v>
      </c>
      <c r="I1438" s="139" t="e">
        <f>VLOOKUP(H1438,Stock_list!A:R,18,FALSE)</f>
        <v>#N/A</v>
      </c>
      <c r="J1438" s="139" t="e">
        <f>VLOOKUP(H1438,Stock_list!A:S,17,FALSE)</f>
        <v>#N/A</v>
      </c>
      <c r="K1438" s="51" t="e">
        <f>VLOOKUP(H1438,Stock_list!A:T,16,FALSE)</f>
        <v>#N/A</v>
      </c>
      <c r="L1438" s="4">
        <v>43753</v>
      </c>
      <c r="M1438" s="132">
        <v>6</v>
      </c>
      <c r="P1438" s="4" t="e">
        <f>VLOOKUP(H1438,Stock_list!A:Y,25,FALSE)</f>
        <v>#N/A</v>
      </c>
      <c r="Q1438" s="143"/>
      <c r="T1438" s="144"/>
      <c r="U1438" s="145" t="e">
        <f>VLOOKUP(H1438,Stock_list!A:N,14,FALSE)</f>
        <v>#N/A</v>
      </c>
    </row>
    <row r="1439" spans="1:21" ht="16.5" customHeight="1">
      <c r="A1439" s="159" t="s">
        <v>265</v>
      </c>
      <c r="B1439" s="114" t="str">
        <f>VLOOKUP(A1439,'Data pick slip'!B:F,5,FALSE)</f>
        <v>KHJ-MC400-00</v>
      </c>
      <c r="F1439" s="157" t="s">
        <v>290</v>
      </c>
      <c r="H1439" s="138">
        <v>312</v>
      </c>
      <c r="I1439" s="139" t="e">
        <f>VLOOKUP(H1439,Stock_list!A:R,18,FALSE)</f>
        <v>#N/A</v>
      </c>
      <c r="J1439" s="139" t="e">
        <f>VLOOKUP(H1439,Stock_list!A:S,17,FALSE)</f>
        <v>#N/A</v>
      </c>
      <c r="K1439" s="51" t="e">
        <f>VLOOKUP(H1439,Stock_list!A:T,16,FALSE)</f>
        <v>#N/A</v>
      </c>
      <c r="L1439" s="4">
        <v>43753</v>
      </c>
      <c r="M1439" s="132">
        <v>1</v>
      </c>
      <c r="P1439" s="4" t="e">
        <f>VLOOKUP(H1439,Stock_list!A:Y,25,FALSE)</f>
        <v>#N/A</v>
      </c>
      <c r="Q1439" s="143"/>
      <c r="T1439" s="144"/>
      <c r="U1439" s="145" t="e">
        <f>VLOOKUP(H1439,Stock_list!A:N,14,FALSE)</f>
        <v>#N/A</v>
      </c>
    </row>
    <row r="1440" spans="1:21" ht="16.5" customHeight="1">
      <c r="A1440" s="159" t="s">
        <v>261</v>
      </c>
      <c r="B1440" s="114" t="str">
        <f>VLOOKUP(A1440,'Data pick slip'!B:F,5,FALSE)</f>
        <v>KHJ-MC100-00</v>
      </c>
      <c r="F1440" s="157" t="s">
        <v>290</v>
      </c>
      <c r="H1440" s="138">
        <v>314</v>
      </c>
      <c r="I1440" s="139" t="e">
        <f>VLOOKUP(H1440,Stock_list!A:R,18,FALSE)</f>
        <v>#N/A</v>
      </c>
      <c r="J1440" s="139" t="e">
        <f>VLOOKUP(H1440,Stock_list!A:S,17,FALSE)</f>
        <v>#N/A</v>
      </c>
      <c r="K1440" s="51" t="e">
        <f>VLOOKUP(H1440,Stock_list!A:T,16,FALSE)</f>
        <v>#N/A</v>
      </c>
      <c r="L1440" s="4">
        <v>43631</v>
      </c>
      <c r="M1440" s="132">
        <v>50</v>
      </c>
      <c r="P1440" s="4" t="e">
        <f>VLOOKUP(H1440,Stock_list!A:Y,25,FALSE)</f>
        <v>#N/A</v>
      </c>
      <c r="Q1440" s="143"/>
      <c r="T1440" s="144"/>
      <c r="U1440" s="145" t="e">
        <f>VLOOKUP(H1440,Stock_list!A:N,14,FALSE)</f>
        <v>#N/A</v>
      </c>
    </row>
    <row r="1441" spans="1:21" ht="16.5" customHeight="1">
      <c r="A1441" s="159" t="s">
        <v>264</v>
      </c>
      <c r="B1441" s="114" t="str">
        <f>VLOOKUP(A1441,'Data pick slip'!B:F,5,FALSE)</f>
        <v>KHJ-MC200-00</v>
      </c>
      <c r="F1441" s="157" t="s">
        <v>290</v>
      </c>
      <c r="H1441" s="138">
        <v>314</v>
      </c>
      <c r="I1441" s="139" t="e">
        <f>VLOOKUP(H1441,Stock_list!A:R,18,FALSE)</f>
        <v>#N/A</v>
      </c>
      <c r="J1441" s="139" t="e">
        <f>VLOOKUP(H1441,Stock_list!A:S,17,FALSE)</f>
        <v>#N/A</v>
      </c>
      <c r="K1441" s="51" t="e">
        <f>VLOOKUP(H1441,Stock_list!A:T,16,FALSE)</f>
        <v>#N/A</v>
      </c>
      <c r="L1441" s="4">
        <v>43631</v>
      </c>
      <c r="M1441" s="132">
        <v>10</v>
      </c>
      <c r="P1441" s="4" t="e">
        <f>VLOOKUP(H1441,Stock_list!A:Y,25,FALSE)</f>
        <v>#N/A</v>
      </c>
      <c r="Q1441" s="143"/>
      <c r="T1441" s="144"/>
      <c r="U1441" s="145" t="e">
        <f>VLOOKUP(H1441,Stock_list!A:N,14,FALSE)</f>
        <v>#N/A</v>
      </c>
    </row>
    <row r="1442" spans="1:21" ht="16.5" customHeight="1">
      <c r="A1442" s="159" t="s">
        <v>265</v>
      </c>
      <c r="B1442" s="114" t="str">
        <f>VLOOKUP(A1442,'Data pick slip'!B:F,5,FALSE)</f>
        <v>KHJ-MC400-00</v>
      </c>
      <c r="F1442" s="157" t="s">
        <v>290</v>
      </c>
      <c r="H1442" s="138">
        <v>314</v>
      </c>
      <c r="I1442" s="139" t="e">
        <f>VLOOKUP(H1442,Stock_list!A:R,18,FALSE)</f>
        <v>#N/A</v>
      </c>
      <c r="J1442" s="139" t="e">
        <f>VLOOKUP(H1442,Stock_list!A:S,17,FALSE)</f>
        <v>#N/A</v>
      </c>
      <c r="K1442" s="51" t="e">
        <f>VLOOKUP(H1442,Stock_list!A:T,16,FALSE)</f>
        <v>#N/A</v>
      </c>
      <c r="L1442" s="4">
        <v>43631</v>
      </c>
      <c r="M1442" s="132">
        <v>3</v>
      </c>
      <c r="P1442" s="4" t="e">
        <f>VLOOKUP(H1442,Stock_list!A:Y,25,FALSE)</f>
        <v>#N/A</v>
      </c>
      <c r="Q1442" s="143"/>
      <c r="T1442" s="144"/>
      <c r="U1442" s="145" t="e">
        <f>VLOOKUP(H1442,Stock_list!A:N,14,FALSE)</f>
        <v>#N/A</v>
      </c>
    </row>
    <row r="1443" spans="1:21" ht="16.5" customHeight="1">
      <c r="A1443" s="159" t="s">
        <v>261</v>
      </c>
      <c r="B1443" s="114" t="str">
        <f>VLOOKUP(A1443,'Data pick slip'!B:F,5,FALSE)</f>
        <v>KHJ-MC100-00</v>
      </c>
      <c r="F1443" s="157" t="s">
        <v>379</v>
      </c>
      <c r="I1443" s="139" t="s">
        <v>533</v>
      </c>
      <c r="J1443" s="139" t="s">
        <v>616</v>
      </c>
      <c r="K1443" s="51" t="s">
        <v>225</v>
      </c>
      <c r="L1443" s="4">
        <v>43605</v>
      </c>
      <c r="M1443" s="140">
        <v>13</v>
      </c>
      <c r="P1443" s="4" t="s">
        <v>214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264</v>
      </c>
      <c r="B1444" s="114" t="str">
        <f>VLOOKUP(A1444,'Data pick slip'!B:F,5,FALSE)</f>
        <v>KHJ-MC200-00</v>
      </c>
      <c r="F1444" s="157" t="s">
        <v>379</v>
      </c>
      <c r="I1444" s="139" t="s">
        <v>533</v>
      </c>
      <c r="J1444" s="139" t="s">
        <v>616</v>
      </c>
      <c r="K1444" s="51" t="s">
        <v>225</v>
      </c>
      <c r="L1444" s="4">
        <v>43605</v>
      </c>
      <c r="M1444" s="140">
        <v>31</v>
      </c>
      <c r="P1444" s="4" t="s">
        <v>214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265</v>
      </c>
      <c r="B1445" s="114" t="str">
        <f>VLOOKUP(A1445,'Data pick slip'!B:F,5,FALSE)</f>
        <v>KHJ-MC400-00</v>
      </c>
      <c r="F1445" s="157" t="s">
        <v>379</v>
      </c>
      <c r="I1445" s="139" t="s">
        <v>533</v>
      </c>
      <c r="J1445" s="139" t="s">
        <v>616</v>
      </c>
      <c r="K1445" s="51" t="s">
        <v>225</v>
      </c>
      <c r="L1445" s="4">
        <v>43605</v>
      </c>
      <c r="M1445" s="140">
        <v>25</v>
      </c>
      <c r="P1445" s="4" t="s">
        <v>214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261</v>
      </c>
      <c r="B1446" s="114" t="str">
        <f>VLOOKUP(A1446,'Data pick slip'!B:F,5,FALSE)</f>
        <v>KHJ-MC100-00</v>
      </c>
      <c r="F1446" s="157" t="s">
        <v>290</v>
      </c>
      <c r="H1446" s="138">
        <v>305</v>
      </c>
      <c r="I1446" s="139" t="e">
        <f>VLOOKUP(H1446,Stock_list!A:R,18,FALSE)</f>
        <v>#N/A</v>
      </c>
      <c r="J1446" s="139" t="e">
        <f>VLOOKUP(H1446,Stock_list!A:S,17,FALSE)</f>
        <v>#N/A</v>
      </c>
      <c r="K1446" s="51" t="e">
        <f>VLOOKUP(H1446,Stock_list!A:T,16,FALSE)</f>
        <v>#N/A</v>
      </c>
      <c r="L1446" s="4">
        <v>43602</v>
      </c>
      <c r="O1446" s="132">
        <f>90-90</f>
        <v>0</v>
      </c>
      <c r="P1446" s="4" t="e">
        <f>VLOOKUP(H1446,Stock_list!A:Y,25,FALSE)</f>
        <v>#N/A</v>
      </c>
      <c r="Q1446" s="143"/>
      <c r="T1446" s="144"/>
      <c r="U1446" s="145" t="e">
        <f>VLOOKUP(H1446,Stock_list!A:N,14,FALSE)</f>
        <v>#N/A</v>
      </c>
    </row>
    <row r="1447" spans="1:21" ht="16.5" customHeight="1">
      <c r="A1447" s="159" t="s">
        <v>264</v>
      </c>
      <c r="B1447" s="114" t="str">
        <f>VLOOKUP(A1447,'Data pick slip'!B:F,5,FALSE)</f>
        <v>KHJ-MC200-00</v>
      </c>
      <c r="F1447" s="157" t="s">
        <v>290</v>
      </c>
      <c r="H1447" s="138">
        <v>305</v>
      </c>
      <c r="I1447" s="139" t="e">
        <f>VLOOKUP(H1447,Stock_list!A:R,18,FALSE)</f>
        <v>#N/A</v>
      </c>
      <c r="J1447" s="139" t="e">
        <f>VLOOKUP(H1447,Stock_list!A:S,17,FALSE)</f>
        <v>#N/A</v>
      </c>
      <c r="K1447" s="51" t="e">
        <f>VLOOKUP(H1447,Stock_list!A:T,16,FALSE)</f>
        <v>#N/A</v>
      </c>
      <c r="L1447" s="4">
        <v>43602</v>
      </c>
      <c r="O1447" s="132">
        <f>15-15</f>
        <v>0</v>
      </c>
      <c r="P1447" s="4" t="e">
        <f>VLOOKUP(H1447,Stock_list!A:Y,25,FALSE)</f>
        <v>#N/A</v>
      </c>
      <c r="Q1447" s="143"/>
      <c r="T1447" s="144"/>
      <c r="U1447" s="145" t="e">
        <f>VLOOKUP(H1447,Stock_list!A:N,14,FALSE)</f>
        <v>#N/A</v>
      </c>
    </row>
    <row r="1448" spans="1:21" ht="16.5" customHeight="1">
      <c r="A1448" s="159" t="s">
        <v>265</v>
      </c>
      <c r="B1448" s="114" t="str">
        <f>VLOOKUP(A1448,'Data pick slip'!B:F,5,FALSE)</f>
        <v>KHJ-MC400-00</v>
      </c>
      <c r="F1448" s="157" t="s">
        <v>290</v>
      </c>
      <c r="H1448" s="138">
        <v>305</v>
      </c>
      <c r="I1448" s="139" t="e">
        <f>VLOOKUP(H1448,Stock_list!A:R,18,FALSE)</f>
        <v>#N/A</v>
      </c>
      <c r="J1448" s="139" t="e">
        <f>VLOOKUP(H1448,Stock_list!A:S,17,FALSE)</f>
        <v>#N/A</v>
      </c>
      <c r="K1448" s="51" t="e">
        <f>VLOOKUP(H1448,Stock_list!A:T,16,FALSE)</f>
        <v>#N/A</v>
      </c>
      <c r="L1448" s="4">
        <v>43609</v>
      </c>
      <c r="O1448" s="132">
        <f>4-4</f>
        <v>0</v>
      </c>
      <c r="P1448" s="4" t="e">
        <f>VLOOKUP(H1448,Stock_list!A:Y,25,FALSE)</f>
        <v>#N/A</v>
      </c>
      <c r="Q1448" s="143"/>
      <c r="T1448" s="144"/>
      <c r="U1448" s="145" t="e">
        <f>VLOOKUP(H1448,Stock_list!A:N,14,FALSE)</f>
        <v>#N/A</v>
      </c>
    </row>
    <row r="1449" spans="1:21" ht="16.5" customHeight="1">
      <c r="A1449" s="159" t="s">
        <v>264</v>
      </c>
      <c r="B1449" s="114" t="str">
        <f>VLOOKUP(A1449,'Data pick slip'!B:F,5,FALSE)</f>
        <v>KHJ-MC200-00</v>
      </c>
      <c r="F1449" s="157" t="s">
        <v>290</v>
      </c>
      <c r="I1449" s="139" t="s">
        <v>617</v>
      </c>
      <c r="J1449" s="139" t="s">
        <v>618</v>
      </c>
      <c r="K1449" s="51" t="s">
        <v>225</v>
      </c>
      <c r="L1449" s="4">
        <v>43606</v>
      </c>
      <c r="M1449" s="140">
        <v>2</v>
      </c>
      <c r="P1449" s="4" t="s">
        <v>214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264</v>
      </c>
      <c r="B1450" s="114" t="str">
        <f>VLOOKUP(A1450,'Data pick slip'!B:F,5,FALSE)</f>
        <v>KHJ-MC200-00</v>
      </c>
      <c r="F1450" s="157" t="s">
        <v>290</v>
      </c>
      <c r="I1450" s="139" t="s">
        <v>617</v>
      </c>
      <c r="J1450" s="139" t="s">
        <v>619</v>
      </c>
      <c r="K1450" s="51" t="s">
        <v>225</v>
      </c>
      <c r="L1450" s="4">
        <v>43606</v>
      </c>
      <c r="M1450" s="140">
        <v>4</v>
      </c>
      <c r="P1450" s="4" t="s">
        <v>214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265</v>
      </c>
      <c r="B1451" s="114" t="str">
        <f>VLOOKUP(A1451,'Data pick slip'!B:F,5,FALSE)</f>
        <v>KHJ-MC400-00</v>
      </c>
      <c r="F1451" s="157" t="s">
        <v>290</v>
      </c>
      <c r="I1451" s="139" t="s">
        <v>617</v>
      </c>
      <c r="J1451" s="139" t="s">
        <v>619</v>
      </c>
      <c r="K1451" s="51" t="s">
        <v>225</v>
      </c>
      <c r="L1451" s="4">
        <v>43606</v>
      </c>
      <c r="M1451" s="140">
        <v>5</v>
      </c>
      <c r="P1451" s="4" t="s">
        <v>214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267</v>
      </c>
      <c r="B1452" s="114" t="str">
        <f>VLOOKUP(A1452,'Data pick slip'!B:F,5,FALSE)</f>
        <v>KHJ-MC600-00</v>
      </c>
      <c r="F1452" s="157" t="s">
        <v>290</v>
      </c>
      <c r="I1452" s="139" t="s">
        <v>617</v>
      </c>
      <c r="J1452" s="139" t="s">
        <v>620</v>
      </c>
      <c r="K1452" s="51" t="s">
        <v>225</v>
      </c>
      <c r="L1452" s="4">
        <v>43607</v>
      </c>
      <c r="M1452" s="140">
        <v>1</v>
      </c>
      <c r="P1452" s="4" t="s">
        <v>214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264</v>
      </c>
      <c r="B1453" s="114" t="str">
        <f>VLOOKUP(A1453,'Data pick slip'!B:F,5,FALSE)</f>
        <v>KHJ-MC200-00</v>
      </c>
      <c r="F1453" s="157" t="s">
        <v>290</v>
      </c>
      <c r="I1453" s="139" t="s">
        <v>611</v>
      </c>
      <c r="J1453" s="139" t="s">
        <v>621</v>
      </c>
      <c r="K1453" s="51" t="s">
        <v>225</v>
      </c>
      <c r="L1453" s="4">
        <v>43607</v>
      </c>
      <c r="M1453" s="140">
        <v>1</v>
      </c>
      <c r="P1453" s="4" t="s">
        <v>214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261</v>
      </c>
      <c r="B1454" s="114" t="str">
        <f>VLOOKUP(A1454,'Data pick slip'!B:F,5,FALSE)</f>
        <v>KHJ-MC100-00</v>
      </c>
      <c r="F1454" s="157" t="s">
        <v>290</v>
      </c>
      <c r="I1454" s="139" t="s">
        <v>611</v>
      </c>
      <c r="J1454" s="139" t="s">
        <v>622</v>
      </c>
      <c r="K1454" s="51" t="s">
        <v>225</v>
      </c>
      <c r="L1454" s="4">
        <v>43609</v>
      </c>
      <c r="M1454" s="140">
        <v>10</v>
      </c>
      <c r="P1454" s="4" t="s">
        <v>214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265</v>
      </c>
      <c r="B1455" s="114" t="str">
        <f>VLOOKUP(A1455,'Data pick slip'!B:F,5,FALSE)</f>
        <v>KHJ-MC400-00</v>
      </c>
      <c r="F1455" s="157" t="s">
        <v>290</v>
      </c>
      <c r="I1455" s="139" t="s">
        <v>623</v>
      </c>
      <c r="J1455" s="139" t="s">
        <v>624</v>
      </c>
      <c r="K1455" s="51" t="s">
        <v>225</v>
      </c>
      <c r="L1455" s="4">
        <v>43609</v>
      </c>
      <c r="M1455" s="140">
        <v>2</v>
      </c>
      <c r="P1455" s="4" t="s">
        <v>214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267</v>
      </c>
      <c r="B1456" s="114" t="str">
        <f>VLOOKUP(A1456,'Data pick slip'!B:F,5,FALSE)</f>
        <v>KHJ-MC600-00</v>
      </c>
      <c r="F1456" s="157" t="s">
        <v>290</v>
      </c>
      <c r="I1456" s="139" t="s">
        <v>623</v>
      </c>
      <c r="J1456" s="139" t="s">
        <v>624</v>
      </c>
      <c r="K1456" s="51" t="s">
        <v>225</v>
      </c>
      <c r="L1456" s="4">
        <v>43609</v>
      </c>
      <c r="M1456" s="140">
        <v>1</v>
      </c>
      <c r="P1456" s="4" t="s">
        <v>214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261</v>
      </c>
      <c r="B1457" s="114" t="str">
        <f>VLOOKUP(A1457,'Data pick slip'!B:F,5,FALSE)</f>
        <v>KHJ-MC100-00</v>
      </c>
      <c r="F1457" s="157" t="s">
        <v>290</v>
      </c>
      <c r="H1457" s="138">
        <v>320</v>
      </c>
      <c r="I1457" s="139" t="e">
        <f>VLOOKUP(H1457,Stock_list!A:R,18,FALSE)</f>
        <v>#N/A</v>
      </c>
      <c r="J1457" s="139" t="e">
        <f>VLOOKUP(H1457,Stock_list!A:S,17,FALSE)</f>
        <v>#N/A</v>
      </c>
      <c r="K1457" s="51" t="e">
        <f>VLOOKUP(H1457,Stock_list!A:T,16,FALSE)</f>
        <v>#N/A</v>
      </c>
      <c r="L1457" s="4">
        <v>43622</v>
      </c>
      <c r="M1457" s="132">
        <v>83</v>
      </c>
      <c r="P1457" s="4" t="e">
        <f>VLOOKUP(H1457,Stock_list!A:Y,25,FALSE)</f>
        <v>#N/A</v>
      </c>
      <c r="Q1457" s="143"/>
      <c r="T1457" s="144"/>
      <c r="U1457" s="145" t="e">
        <f>VLOOKUP(H1457,Stock_list!A:N,14,FALSE)</f>
        <v>#N/A</v>
      </c>
    </row>
    <row r="1458" spans="1:21" ht="16.5" customHeight="1">
      <c r="A1458" s="159" t="s">
        <v>264</v>
      </c>
      <c r="B1458" s="114" t="str">
        <f>VLOOKUP(A1458,'Data pick slip'!B:F,5,FALSE)</f>
        <v>KHJ-MC200-00</v>
      </c>
      <c r="F1458" s="157" t="s">
        <v>290</v>
      </c>
      <c r="H1458" s="138">
        <v>320</v>
      </c>
      <c r="I1458" s="139" t="e">
        <f>VLOOKUP(H1458,Stock_list!A:R,18,FALSE)</f>
        <v>#N/A</v>
      </c>
      <c r="J1458" s="139" t="e">
        <f>VLOOKUP(H1458,Stock_list!A:S,17,FALSE)</f>
        <v>#N/A</v>
      </c>
      <c r="K1458" s="51" t="e">
        <f>VLOOKUP(H1458,Stock_list!A:T,16,FALSE)</f>
        <v>#N/A</v>
      </c>
      <c r="L1458" s="4">
        <v>43622</v>
      </c>
      <c r="M1458" s="132">
        <v>20</v>
      </c>
      <c r="P1458" s="4" t="e">
        <f>VLOOKUP(H1458,Stock_list!A:Y,25,FALSE)</f>
        <v>#N/A</v>
      </c>
      <c r="Q1458" s="143"/>
      <c r="T1458" s="144"/>
      <c r="U1458" s="145" t="e">
        <f>VLOOKUP(H1458,Stock_list!A:N,14,FALSE)</f>
        <v>#N/A</v>
      </c>
    </row>
    <row r="1459" spans="1:21" ht="16.5" customHeight="1">
      <c r="A1459" s="159" t="s">
        <v>261</v>
      </c>
      <c r="B1459" s="114" t="str">
        <f>VLOOKUP(A1459,'Data pick slip'!B:F,5,FALSE)</f>
        <v>KHJ-MC100-00</v>
      </c>
      <c r="F1459" s="157" t="s">
        <v>379</v>
      </c>
      <c r="H1459" s="138">
        <v>322</v>
      </c>
      <c r="I1459" s="139" t="e">
        <f>VLOOKUP(H1459,Stock_list!A:R,18,FALSE)</f>
        <v>#N/A</v>
      </c>
      <c r="J1459" s="139" t="e">
        <f>VLOOKUP(H1459,Stock_list!A:S,17,FALSE)</f>
        <v>#N/A</v>
      </c>
      <c r="K1459" s="51" t="e">
        <f>VLOOKUP(H1459,Stock_list!A:T,16,FALSE)</f>
        <v>#N/A</v>
      </c>
      <c r="L1459" s="4">
        <v>43650</v>
      </c>
      <c r="M1459" s="132">
        <v>30</v>
      </c>
      <c r="P1459" s="4" t="e">
        <f>VLOOKUP(H1459,Stock_list!A:Y,25,FALSE)</f>
        <v>#N/A</v>
      </c>
      <c r="Q1459" s="143"/>
      <c r="T1459" s="144"/>
      <c r="U1459" s="145" t="e">
        <f>VLOOKUP(H1459,Stock_list!A:N,14,FALSE)</f>
        <v>#N/A</v>
      </c>
    </row>
    <row r="1460" spans="1:21" ht="16.5" customHeight="1">
      <c r="A1460" s="159" t="s">
        <v>264</v>
      </c>
      <c r="B1460" s="114" t="str">
        <f>VLOOKUP(A1460,'Data pick slip'!B:F,5,FALSE)</f>
        <v>KHJ-MC200-00</v>
      </c>
      <c r="F1460" s="157" t="s">
        <v>290</v>
      </c>
      <c r="H1460" s="138">
        <v>322</v>
      </c>
      <c r="I1460" s="139" t="e">
        <f>VLOOKUP(H1460,Stock_list!A:R,18,FALSE)</f>
        <v>#N/A</v>
      </c>
      <c r="J1460" s="139" t="e">
        <f>VLOOKUP(H1460,Stock_list!A:S,17,FALSE)</f>
        <v>#N/A</v>
      </c>
      <c r="K1460" s="51" t="e">
        <f>VLOOKUP(H1460,Stock_list!A:T,16,FALSE)</f>
        <v>#N/A</v>
      </c>
      <c r="L1460" s="4">
        <v>43650</v>
      </c>
      <c r="M1460" s="132">
        <v>5</v>
      </c>
      <c r="P1460" s="4" t="e">
        <f>VLOOKUP(H1460,Stock_list!A:Y,25,FALSE)</f>
        <v>#N/A</v>
      </c>
      <c r="Q1460" s="143"/>
      <c r="T1460" s="144"/>
      <c r="U1460" s="145" t="e">
        <f>VLOOKUP(H1460,Stock_list!A:N,14,FALSE)</f>
        <v>#N/A</v>
      </c>
    </row>
    <row r="1461" spans="1:21" ht="16.5" customHeight="1">
      <c r="A1461" s="159" t="s">
        <v>261</v>
      </c>
      <c r="B1461" s="114" t="str">
        <f>VLOOKUP(A1461,'Data pick slip'!B:F,5,FALSE)</f>
        <v>KHJ-MC100-00</v>
      </c>
      <c r="F1461" s="157" t="s">
        <v>290</v>
      </c>
      <c r="H1461" s="138">
        <v>323</v>
      </c>
      <c r="I1461" s="139" t="e">
        <f>VLOOKUP(H1461,Stock_list!A:R,18,FALSE)</f>
        <v>#N/A</v>
      </c>
      <c r="J1461" s="139" t="e">
        <f>VLOOKUP(H1461,Stock_list!A:S,17,FALSE)</f>
        <v>#N/A</v>
      </c>
      <c r="K1461" s="51" t="e">
        <f>VLOOKUP(H1461,Stock_list!A:T,16,FALSE)</f>
        <v>#N/A</v>
      </c>
      <c r="L1461" s="4">
        <v>43629</v>
      </c>
      <c r="M1461" s="132">
        <v>60</v>
      </c>
      <c r="P1461" s="4" t="e">
        <f>VLOOKUP(H1461,Stock_list!A:Y,25,FALSE)</f>
        <v>#N/A</v>
      </c>
      <c r="Q1461" s="143"/>
      <c r="T1461" s="144"/>
      <c r="U1461" s="145" t="e">
        <f>VLOOKUP(H1461,Stock_list!A:N,14,FALSE)</f>
        <v>#N/A</v>
      </c>
    </row>
    <row r="1462" spans="1:21" ht="16.5" customHeight="1">
      <c r="A1462" s="159" t="s">
        <v>264</v>
      </c>
      <c r="B1462" s="114" t="str">
        <f>VLOOKUP(A1462,'Data pick slip'!B:F,5,FALSE)</f>
        <v>KHJ-MC200-00</v>
      </c>
      <c r="F1462" s="157" t="s">
        <v>290</v>
      </c>
      <c r="H1462" s="138">
        <v>323</v>
      </c>
      <c r="I1462" s="139" t="e">
        <f>VLOOKUP(H1462,Stock_list!A:R,18,FALSE)</f>
        <v>#N/A</v>
      </c>
      <c r="J1462" s="139" t="e">
        <f>VLOOKUP(H1462,Stock_list!A:S,17,FALSE)</f>
        <v>#N/A</v>
      </c>
      <c r="K1462" s="51" t="e">
        <f>VLOOKUP(H1462,Stock_list!A:T,16,FALSE)</f>
        <v>#N/A</v>
      </c>
      <c r="L1462" s="4">
        <v>43629</v>
      </c>
      <c r="M1462" s="132">
        <v>20</v>
      </c>
      <c r="P1462" s="4" t="e">
        <f>VLOOKUP(H1462,Stock_list!A:Y,25,FALSE)</f>
        <v>#N/A</v>
      </c>
      <c r="Q1462" s="143"/>
      <c r="T1462" s="144"/>
      <c r="U1462" s="145" t="e">
        <f>VLOOKUP(H1462,Stock_list!A:N,14,FALSE)</f>
        <v>#N/A</v>
      </c>
    </row>
    <row r="1463" spans="1:21" ht="16.5" customHeight="1">
      <c r="A1463" s="159" t="s">
        <v>265</v>
      </c>
      <c r="B1463" s="114" t="str">
        <f>VLOOKUP(A1463,'Data pick slip'!B:F,5,FALSE)</f>
        <v>KHJ-MC400-00</v>
      </c>
      <c r="F1463" s="157" t="s">
        <v>290</v>
      </c>
      <c r="H1463" s="138">
        <v>323</v>
      </c>
      <c r="I1463" s="139" t="e">
        <f>VLOOKUP(H1463,Stock_list!A:R,18,FALSE)</f>
        <v>#N/A</v>
      </c>
      <c r="J1463" s="139" t="e">
        <f>VLOOKUP(H1463,Stock_list!A:S,17,FALSE)</f>
        <v>#N/A</v>
      </c>
      <c r="K1463" s="51" t="e">
        <f>VLOOKUP(H1463,Stock_list!A:T,16,FALSE)</f>
        <v>#N/A</v>
      </c>
      <c r="L1463" s="4">
        <v>43629</v>
      </c>
      <c r="M1463" s="132">
        <v>4</v>
      </c>
      <c r="P1463" s="4" t="e">
        <f>VLOOKUP(H1463,Stock_list!A:Y,25,FALSE)</f>
        <v>#N/A</v>
      </c>
      <c r="Q1463" s="143"/>
      <c r="T1463" s="144"/>
      <c r="U1463" s="145" t="e">
        <f>VLOOKUP(H1463,Stock_list!A:N,14,FALSE)</f>
        <v>#N/A</v>
      </c>
    </row>
    <row r="1464" spans="1:21" ht="16.5" customHeight="1">
      <c r="A1464" s="159" t="s">
        <v>261</v>
      </c>
      <c r="B1464" s="114" t="str">
        <f>VLOOKUP(A1464,'Data pick slip'!B:F,5,FALSE)</f>
        <v>KHJ-MC100-00</v>
      </c>
      <c r="F1464" s="157" t="s">
        <v>379</v>
      </c>
      <c r="H1464" s="138">
        <v>327</v>
      </c>
      <c r="I1464" s="139" t="e">
        <f>VLOOKUP(H1464,Stock_list!A:R,18,FALSE)</f>
        <v>#N/A</v>
      </c>
      <c r="J1464" s="139" t="e">
        <f>VLOOKUP(H1464,Stock_list!A:S,17,FALSE)</f>
        <v>#N/A</v>
      </c>
      <c r="K1464" s="51" t="e">
        <f>VLOOKUP(H1464,Stock_list!A:T,16,FALSE)</f>
        <v>#N/A</v>
      </c>
      <c r="L1464" s="4">
        <v>43627</v>
      </c>
      <c r="M1464" s="132">
        <v>105</v>
      </c>
      <c r="P1464" s="4" t="e">
        <f>VLOOKUP(H1464,Stock_list!A:Y,25,FALSE)</f>
        <v>#N/A</v>
      </c>
      <c r="Q1464" s="143"/>
      <c r="T1464" s="144"/>
      <c r="U1464" s="145" t="e">
        <f>VLOOKUP(H1464,Stock_list!A:N,14,FALSE)</f>
        <v>#N/A</v>
      </c>
    </row>
    <row r="1465" spans="1:21" ht="16.5" customHeight="1">
      <c r="A1465" s="159" t="s">
        <v>264</v>
      </c>
      <c r="B1465" s="114" t="str">
        <f>VLOOKUP(A1465,'Data pick slip'!B:F,5,FALSE)</f>
        <v>KHJ-MC200-00</v>
      </c>
      <c r="F1465" s="157" t="s">
        <v>379</v>
      </c>
      <c r="H1465" s="138">
        <v>327</v>
      </c>
      <c r="I1465" s="139" t="e">
        <f>VLOOKUP(H1465,Stock_list!A:R,18,FALSE)</f>
        <v>#N/A</v>
      </c>
      <c r="J1465" s="139" t="e">
        <f>VLOOKUP(H1465,Stock_list!A:S,17,FALSE)</f>
        <v>#N/A</v>
      </c>
      <c r="K1465" s="51" t="e">
        <f>VLOOKUP(H1465,Stock_list!A:T,16,FALSE)</f>
        <v>#N/A</v>
      </c>
      <c r="L1465" s="4">
        <v>43627</v>
      </c>
      <c r="M1465" s="132">
        <v>10</v>
      </c>
      <c r="P1465" s="4" t="e">
        <f>VLOOKUP(H1465,Stock_list!A:Y,25,FALSE)</f>
        <v>#N/A</v>
      </c>
      <c r="Q1465" s="143"/>
      <c r="T1465" s="144"/>
      <c r="U1465" s="145" t="e">
        <f>VLOOKUP(H1465,Stock_list!A:N,14,FALSE)</f>
        <v>#N/A</v>
      </c>
    </row>
    <row r="1466" spans="1:21" ht="16.5" customHeight="1">
      <c r="A1466" s="159" t="s">
        <v>265</v>
      </c>
      <c r="B1466" s="114" t="str">
        <f>VLOOKUP(A1466,'Data pick slip'!B:F,5,FALSE)</f>
        <v>KHJ-MC400-00</v>
      </c>
      <c r="F1466" s="157" t="s">
        <v>290</v>
      </c>
      <c r="H1466" s="138">
        <v>327</v>
      </c>
      <c r="I1466" s="139" t="e">
        <f>VLOOKUP(H1466,Stock_list!A:R,18,FALSE)</f>
        <v>#N/A</v>
      </c>
      <c r="J1466" s="139" t="e">
        <f>VLOOKUP(H1466,Stock_list!A:S,17,FALSE)</f>
        <v>#N/A</v>
      </c>
      <c r="K1466" s="51" t="e">
        <f>VLOOKUP(H1466,Stock_list!A:T,16,FALSE)</f>
        <v>#N/A</v>
      </c>
      <c r="L1466" s="4">
        <v>43627</v>
      </c>
      <c r="M1466" s="132">
        <v>2</v>
      </c>
      <c r="P1466" s="4" t="e">
        <f>VLOOKUP(H1466,Stock_list!A:Y,25,FALSE)</f>
        <v>#N/A</v>
      </c>
      <c r="Q1466" s="143"/>
      <c r="S1466" s="123" t="s">
        <v>521</v>
      </c>
      <c r="T1466" s="205" t="s">
        <v>625</v>
      </c>
      <c r="U1466" s="145" t="e">
        <f>VLOOKUP(H1466,Stock_list!A:N,14,FALSE)</f>
        <v>#N/A</v>
      </c>
    </row>
    <row r="1467" spans="1:21" ht="16.5" customHeight="1">
      <c r="A1467" s="159" t="s">
        <v>266</v>
      </c>
      <c r="B1467" s="114" t="str">
        <f>VLOOKUP(A1467,'Data pick slip'!B:F,5,FALSE)</f>
        <v>KHJ-MC500-00</v>
      </c>
      <c r="F1467" s="157" t="s">
        <v>290</v>
      </c>
      <c r="H1467" s="138">
        <v>327</v>
      </c>
      <c r="I1467" s="139" t="e">
        <f>VLOOKUP(H1467,Stock_list!A:R,18,FALSE)</f>
        <v>#N/A</v>
      </c>
      <c r="J1467" s="139" t="e">
        <f>VLOOKUP(H1467,Stock_list!A:S,17,FALSE)</f>
        <v>#N/A</v>
      </c>
      <c r="K1467" s="51" t="e">
        <f>VLOOKUP(H1467,Stock_list!A:T,16,FALSE)</f>
        <v>#N/A</v>
      </c>
      <c r="L1467" s="4">
        <v>43627</v>
      </c>
      <c r="M1467" s="132">
        <v>1</v>
      </c>
      <c r="P1467" s="4" t="e">
        <f>VLOOKUP(H1467,Stock_list!A:Y,25,FALSE)</f>
        <v>#N/A</v>
      </c>
      <c r="Q1467" s="143"/>
      <c r="S1467" s="123" t="s">
        <v>521</v>
      </c>
      <c r="T1467" s="205" t="s">
        <v>625</v>
      </c>
      <c r="U1467" s="145" t="e">
        <f>VLOOKUP(H1467,Stock_list!A:N,14,FALSE)</f>
        <v>#N/A</v>
      </c>
    </row>
    <row r="1468" spans="1:21" ht="16.5" customHeight="1">
      <c r="A1468" s="159" t="s">
        <v>272</v>
      </c>
      <c r="B1468" s="114" t="str">
        <f>VLOOKUP(A1468,'Data pick slip'!B:F,5,FALSE)</f>
        <v>KLJ-MC100-00</v>
      </c>
      <c r="F1468" s="157" t="s">
        <v>379</v>
      </c>
      <c r="H1468" s="138">
        <v>333</v>
      </c>
      <c r="I1468" s="139" t="e">
        <f>VLOOKUP(H1468,Stock_list!A:R,18,FALSE)</f>
        <v>#N/A</v>
      </c>
      <c r="J1468" s="139" t="e">
        <f>VLOOKUP(H1468,Stock_list!A:S,17,FALSE)</f>
        <v>#N/A</v>
      </c>
      <c r="K1468" s="51" t="e">
        <f>VLOOKUP(H1468,Stock_list!A:T,16,FALSE)</f>
        <v>#N/A</v>
      </c>
      <c r="L1468" s="4">
        <v>43688</v>
      </c>
      <c r="M1468" s="132">
        <v>134</v>
      </c>
      <c r="P1468" s="4" t="e">
        <f>VLOOKUP(H1468,Stock_list!A:Y,25,FALSE)</f>
        <v>#N/A</v>
      </c>
      <c r="Q1468" s="143"/>
      <c r="T1468" s="144"/>
      <c r="U1468" s="145" t="e">
        <f>VLOOKUP(H1468,Stock_list!A:N,14,FALSE)</f>
        <v>#N/A</v>
      </c>
    </row>
    <row r="1469" spans="1:21" ht="16.5" customHeight="1">
      <c r="A1469" s="159" t="s">
        <v>273</v>
      </c>
      <c r="B1469" s="114" t="str">
        <f>VLOOKUP(A1469,'Data pick slip'!B:F,5,FALSE)</f>
        <v>KLJ-MC200-00</v>
      </c>
      <c r="F1469" s="157" t="s">
        <v>379</v>
      </c>
      <c r="H1469" s="138">
        <v>333</v>
      </c>
      <c r="I1469" s="139" t="e">
        <f>VLOOKUP(H1469,Stock_list!A:R,18,FALSE)</f>
        <v>#N/A</v>
      </c>
      <c r="J1469" s="139" t="e">
        <f>VLOOKUP(H1469,Stock_list!A:S,17,FALSE)</f>
        <v>#N/A</v>
      </c>
      <c r="K1469" s="51" t="e">
        <f>VLOOKUP(H1469,Stock_list!A:T,16,FALSE)</f>
        <v>#N/A</v>
      </c>
      <c r="L1469" s="4">
        <v>43688</v>
      </c>
      <c r="M1469" s="132">
        <v>28</v>
      </c>
      <c r="P1469" s="4" t="e">
        <f>VLOOKUP(H1469,Stock_list!A:Y,25,FALSE)</f>
        <v>#N/A</v>
      </c>
      <c r="T1469" s="144"/>
      <c r="U1469" s="145" t="e">
        <f>VLOOKUP(H1469,Stock_list!A:N,14,FALSE)</f>
        <v>#N/A</v>
      </c>
    </row>
    <row r="1470" spans="1:21" ht="16.5" customHeight="1">
      <c r="A1470" s="159" t="s">
        <v>274</v>
      </c>
      <c r="B1470" s="114" t="str">
        <f>VLOOKUP(A1470,'Data pick slip'!B:F,5,FALSE)</f>
        <v>KLJ-MC400-00</v>
      </c>
      <c r="F1470" s="157" t="s">
        <v>379</v>
      </c>
      <c r="H1470" s="138">
        <v>333</v>
      </c>
      <c r="I1470" s="139" t="e">
        <f>VLOOKUP(H1470,Stock_list!A:R,18,FALSE)</f>
        <v>#N/A</v>
      </c>
      <c r="J1470" s="139" t="e">
        <f>VLOOKUP(H1470,Stock_list!A:S,17,FALSE)</f>
        <v>#N/A</v>
      </c>
      <c r="K1470" s="51" t="e">
        <f>VLOOKUP(H1470,Stock_list!A:T,16,FALSE)</f>
        <v>#N/A</v>
      </c>
      <c r="L1470" s="4">
        <v>43688</v>
      </c>
      <c r="M1470" s="132">
        <v>16</v>
      </c>
      <c r="P1470" s="4" t="e">
        <f>VLOOKUP(H1470,Stock_list!A:Y,25,FALSE)</f>
        <v>#N/A</v>
      </c>
      <c r="Q1470" s="143"/>
      <c r="T1470" s="144"/>
      <c r="U1470" s="145" t="e">
        <f>VLOOKUP(H1470,Stock_list!A:N,14,FALSE)</f>
        <v>#N/A</v>
      </c>
    </row>
    <row r="1471" spans="1:21" ht="16.5" customHeight="1">
      <c r="A1471" s="159" t="s">
        <v>275</v>
      </c>
      <c r="B1471" s="114" t="str">
        <f>VLOOKUP(A1471,'Data pick slip'!B:F,5,FALSE)</f>
        <v>KLJ-MC500-00</v>
      </c>
      <c r="F1471" s="157" t="s">
        <v>290</v>
      </c>
      <c r="H1471" s="138">
        <v>333</v>
      </c>
      <c r="I1471" s="139" t="e">
        <f>VLOOKUP(H1471,Stock_list!A:R,18,FALSE)</f>
        <v>#N/A</v>
      </c>
      <c r="J1471" s="139" t="e">
        <f>VLOOKUP(H1471,Stock_list!A:S,17,FALSE)</f>
        <v>#N/A</v>
      </c>
      <c r="K1471" s="51" t="e">
        <f>VLOOKUP(H1471,Stock_list!A:T,16,FALSE)</f>
        <v>#N/A</v>
      </c>
      <c r="L1471" s="4">
        <v>43688</v>
      </c>
      <c r="M1471" s="132">
        <v>2</v>
      </c>
      <c r="P1471" s="4" t="e">
        <f>VLOOKUP(H1471,Stock_list!A:Y,25,FALSE)</f>
        <v>#N/A</v>
      </c>
      <c r="Q1471" s="143"/>
      <c r="S1471" s="123" t="s">
        <v>521</v>
      </c>
      <c r="T1471" s="205" t="s">
        <v>589</v>
      </c>
      <c r="U1471" s="145" t="e">
        <f>VLOOKUP(H1471,Stock_list!A:N,14,FALSE)</f>
        <v>#N/A</v>
      </c>
    </row>
    <row r="1472" spans="1:21" ht="16.5" customHeight="1">
      <c r="A1472" s="159" t="s">
        <v>276</v>
      </c>
      <c r="B1472" s="114" t="str">
        <f>VLOOKUP(A1472,'Data pick slip'!B:F,5,FALSE)</f>
        <v>KLJ-MC600-00</v>
      </c>
      <c r="F1472" s="157" t="s">
        <v>290</v>
      </c>
      <c r="H1472" s="138">
        <v>333</v>
      </c>
      <c r="I1472" s="139" t="e">
        <f>VLOOKUP(H1472,Stock_list!A:R,18,FALSE)</f>
        <v>#N/A</v>
      </c>
      <c r="J1472" s="139" t="e">
        <f>VLOOKUP(H1472,Stock_list!A:S,17,FALSE)</f>
        <v>#N/A</v>
      </c>
      <c r="K1472" s="51" t="e">
        <f>VLOOKUP(H1472,Stock_list!A:T,16,FALSE)</f>
        <v>#N/A</v>
      </c>
      <c r="L1472" s="4">
        <v>43688</v>
      </c>
      <c r="M1472" s="132">
        <v>2</v>
      </c>
      <c r="P1472" s="4" t="e">
        <f>VLOOKUP(H1472,Stock_list!A:Y,25,FALSE)</f>
        <v>#N/A</v>
      </c>
      <c r="Q1472" s="143"/>
      <c r="S1472" s="123" t="s">
        <v>521</v>
      </c>
      <c r="T1472" s="205" t="s">
        <v>589</v>
      </c>
      <c r="U1472" s="145" t="e">
        <f>VLOOKUP(H1472,Stock_list!A:N,14,FALSE)</f>
        <v>#N/A</v>
      </c>
    </row>
    <row r="1473" spans="1:21" ht="16.5" customHeight="1">
      <c r="A1473" s="159" t="s">
        <v>265</v>
      </c>
      <c r="B1473" s="114" t="str">
        <f>VLOOKUP(A1473,'Data pick slip'!B:F,5,FALSE)</f>
        <v>KHJ-MC400-00</v>
      </c>
      <c r="F1473" s="157" t="s">
        <v>290</v>
      </c>
      <c r="I1473" s="139" t="s">
        <v>611</v>
      </c>
      <c r="J1473" s="139" t="s">
        <v>626</v>
      </c>
      <c r="K1473" s="51" t="s">
        <v>225</v>
      </c>
      <c r="L1473" s="4">
        <v>43616</v>
      </c>
      <c r="M1473" s="140">
        <v>2</v>
      </c>
      <c r="P1473" s="4" t="s">
        <v>214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266</v>
      </c>
      <c r="B1474" s="114" t="str">
        <f>VLOOKUP(A1474,'Data pick slip'!B:F,5,FALSE)</f>
        <v>KHJ-MC500-00</v>
      </c>
      <c r="F1474" s="157" t="s">
        <v>290</v>
      </c>
      <c r="I1474" s="139" t="s">
        <v>611</v>
      </c>
      <c r="J1474" s="139" t="s">
        <v>627</v>
      </c>
      <c r="K1474" s="51" t="s">
        <v>225</v>
      </c>
      <c r="L1474" s="4">
        <v>43614</v>
      </c>
      <c r="M1474" s="140">
        <v>1</v>
      </c>
      <c r="P1474" s="4" t="s">
        <v>214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267</v>
      </c>
      <c r="B1475" s="114" t="str">
        <f>VLOOKUP(A1475,'Data pick slip'!B:F,5,FALSE)</f>
        <v>KHJ-MC600-00</v>
      </c>
      <c r="F1475" s="157" t="s">
        <v>290</v>
      </c>
      <c r="I1475" s="139" t="s">
        <v>611</v>
      </c>
      <c r="J1475" s="139" t="s">
        <v>627</v>
      </c>
      <c r="K1475" s="51" t="s">
        <v>225</v>
      </c>
      <c r="L1475" s="4">
        <v>43614</v>
      </c>
      <c r="M1475" s="140">
        <v>1</v>
      </c>
      <c r="P1475" s="4" t="s">
        <v>214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261</v>
      </c>
      <c r="B1476" s="114" t="str">
        <f>VLOOKUP(A1476,'Data pick slip'!B:F,5,FALSE)</f>
        <v>KHJ-MC100-00</v>
      </c>
      <c r="F1476" s="157" t="s">
        <v>290</v>
      </c>
      <c r="I1476" s="139" t="s">
        <v>617</v>
      </c>
      <c r="J1476" s="139" t="s">
        <v>628</v>
      </c>
      <c r="K1476" s="51" t="s">
        <v>225</v>
      </c>
      <c r="L1476" s="4">
        <v>43616</v>
      </c>
      <c r="M1476" s="140">
        <v>45</v>
      </c>
      <c r="P1476" s="4" t="s">
        <v>214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264</v>
      </c>
      <c r="B1477" s="114" t="str">
        <f>VLOOKUP(A1477,'Data pick slip'!B:F,5,FALSE)</f>
        <v>KHJ-MC200-00</v>
      </c>
      <c r="F1477" s="157" t="s">
        <v>290</v>
      </c>
      <c r="I1477" s="139" t="s">
        <v>617</v>
      </c>
      <c r="J1477" s="139" t="s">
        <v>628</v>
      </c>
      <c r="K1477" s="51" t="s">
        <v>225</v>
      </c>
      <c r="L1477" s="4">
        <v>43616</v>
      </c>
      <c r="M1477" s="140">
        <v>25</v>
      </c>
      <c r="P1477" s="4" t="s">
        <v>214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265</v>
      </c>
      <c r="B1478" s="114" t="str">
        <f>VLOOKUP(A1478,'Data pick slip'!B:F,5,FALSE)</f>
        <v>KHJ-MC400-00</v>
      </c>
      <c r="F1478" s="157" t="s">
        <v>290</v>
      </c>
      <c r="I1478" s="139" t="s">
        <v>617</v>
      </c>
      <c r="J1478" s="139" t="s">
        <v>628</v>
      </c>
      <c r="K1478" s="51" t="s">
        <v>225</v>
      </c>
      <c r="L1478" s="4">
        <v>43616</v>
      </c>
      <c r="M1478" s="140">
        <v>5</v>
      </c>
      <c r="P1478" s="4" t="s">
        <v>214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266</v>
      </c>
      <c r="B1479" s="114" t="str">
        <f>VLOOKUP(A1479,'Data pick slip'!B:F,5,FALSE)</f>
        <v>KHJ-MC500-00</v>
      </c>
      <c r="F1479" s="157" t="s">
        <v>290</v>
      </c>
      <c r="I1479" s="139" t="s">
        <v>617</v>
      </c>
      <c r="J1479" s="139" t="s">
        <v>628</v>
      </c>
      <c r="K1479" s="51" t="s">
        <v>225</v>
      </c>
      <c r="L1479" s="4">
        <v>43616</v>
      </c>
      <c r="M1479" s="140">
        <v>4</v>
      </c>
      <c r="P1479" s="4" t="s">
        <v>214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267</v>
      </c>
      <c r="B1480" s="114" t="str">
        <f>VLOOKUP(A1480,'Data pick slip'!B:F,5,FALSE)</f>
        <v>KHJ-MC600-00</v>
      </c>
      <c r="F1480" s="157" t="s">
        <v>290</v>
      </c>
      <c r="I1480" s="139" t="s">
        <v>617</v>
      </c>
      <c r="J1480" s="139" t="s">
        <v>628</v>
      </c>
      <c r="K1480" s="51" t="s">
        <v>225</v>
      </c>
      <c r="L1480" s="4">
        <v>43616</v>
      </c>
      <c r="M1480" s="140">
        <v>4</v>
      </c>
      <c r="P1480" s="4" t="s">
        <v>214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268</v>
      </c>
      <c r="B1481" s="114" t="str">
        <f>VLOOKUP(A1481,'Data pick slip'!B:F,5,FALSE)</f>
        <v>KHJ-MC700-00</v>
      </c>
      <c r="F1481" s="157" t="s">
        <v>290</v>
      </c>
      <c r="I1481" s="139" t="s">
        <v>617</v>
      </c>
      <c r="J1481" s="139" t="s">
        <v>628</v>
      </c>
      <c r="K1481" s="51" t="s">
        <v>225</v>
      </c>
      <c r="L1481" s="4">
        <v>43616</v>
      </c>
      <c r="M1481" s="140">
        <v>1</v>
      </c>
      <c r="P1481" s="4" t="s">
        <v>214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269</v>
      </c>
      <c r="B1482" s="114" t="str">
        <f>VLOOKUP(A1482,'Data pick slip'!B:F,5,FALSE)</f>
        <v>KHJ-MC800-00</v>
      </c>
      <c r="F1482" s="157" t="s">
        <v>290</v>
      </c>
      <c r="I1482" s="139" t="s">
        <v>617</v>
      </c>
      <c r="J1482" s="139" t="s">
        <v>628</v>
      </c>
      <c r="K1482" s="51" t="s">
        <v>225</v>
      </c>
      <c r="L1482" s="4">
        <v>43616</v>
      </c>
      <c r="M1482" s="140">
        <v>1</v>
      </c>
      <c r="P1482" s="4" t="s">
        <v>214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261</v>
      </c>
      <c r="B1483" s="114" t="str">
        <f>VLOOKUP(A1483,'Data pick slip'!B:F,5,FALSE)</f>
        <v>KHJ-MC100-00</v>
      </c>
      <c r="F1483" s="157" t="s">
        <v>379</v>
      </c>
      <c r="I1483" s="139" t="s">
        <v>533</v>
      </c>
      <c r="J1483" s="139" t="s">
        <v>629</v>
      </c>
      <c r="K1483" s="51" t="s">
        <v>225</v>
      </c>
      <c r="L1483" s="4">
        <v>43615</v>
      </c>
      <c r="M1483" s="140">
        <v>80</v>
      </c>
      <c r="P1483" s="4" t="s">
        <v>214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264</v>
      </c>
      <c r="B1484" s="114" t="str">
        <f>VLOOKUP(A1484,'Data pick slip'!B:F,5,FALSE)</f>
        <v>KHJ-MC200-00</v>
      </c>
      <c r="F1484" s="157" t="s">
        <v>379</v>
      </c>
      <c r="I1484" s="139" t="s">
        <v>533</v>
      </c>
      <c r="J1484" s="139" t="s">
        <v>629</v>
      </c>
      <c r="K1484" s="51" t="s">
        <v>225</v>
      </c>
      <c r="L1484" s="4">
        <v>43615</v>
      </c>
      <c r="M1484" s="140">
        <v>10</v>
      </c>
      <c r="P1484" s="4" t="s">
        <v>214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266</v>
      </c>
      <c r="B1485" s="114" t="str">
        <f>VLOOKUP(A1485,'Data pick slip'!B:F,5,FALSE)</f>
        <v>KHJ-MC500-00</v>
      </c>
      <c r="F1485" s="157" t="s">
        <v>379</v>
      </c>
      <c r="I1485" s="139" t="s">
        <v>533</v>
      </c>
      <c r="J1485" s="139" t="s">
        <v>629</v>
      </c>
      <c r="K1485" s="51" t="s">
        <v>225</v>
      </c>
      <c r="L1485" s="4">
        <v>43615</v>
      </c>
      <c r="M1485" s="140">
        <v>10</v>
      </c>
      <c r="P1485" s="4" t="s">
        <v>214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274</v>
      </c>
      <c r="B1486" s="114" t="str">
        <f>VLOOKUP(A1486,'Data pick slip'!B:F,5,FALSE)</f>
        <v>KLJ-MC400-00</v>
      </c>
      <c r="F1486" s="157" t="s">
        <v>379</v>
      </c>
      <c r="I1486" s="139" t="s">
        <v>533</v>
      </c>
      <c r="J1486" s="139" t="s">
        <v>629</v>
      </c>
      <c r="K1486" s="51" t="s">
        <v>225</v>
      </c>
      <c r="L1486" s="4">
        <v>43615</v>
      </c>
      <c r="M1486" s="140">
        <v>10</v>
      </c>
      <c r="P1486" s="4" t="s">
        <v>214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261</v>
      </c>
      <c r="B1487" s="114" t="str">
        <f>VLOOKUP(A1487,'Data pick slip'!B:F,5,FALSE)</f>
        <v>KHJ-MC100-00</v>
      </c>
      <c r="F1487" s="157" t="s">
        <v>290</v>
      </c>
      <c r="I1487" s="139" t="s">
        <v>617</v>
      </c>
      <c r="J1487" s="139" t="s">
        <v>630</v>
      </c>
      <c r="K1487" s="51" t="s">
        <v>225</v>
      </c>
      <c r="L1487" s="4">
        <v>43620</v>
      </c>
      <c r="M1487" s="140">
        <v>40</v>
      </c>
      <c r="P1487" s="4" t="s">
        <v>214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264</v>
      </c>
      <c r="B1488" s="114" t="str">
        <f>VLOOKUP(A1488,'Data pick slip'!B:F,5,FALSE)</f>
        <v>KHJ-MC200-00</v>
      </c>
      <c r="F1488" s="157" t="s">
        <v>290</v>
      </c>
      <c r="I1488" s="139" t="s">
        <v>617</v>
      </c>
      <c r="J1488" s="139" t="s">
        <v>630</v>
      </c>
      <c r="K1488" s="51" t="s">
        <v>225</v>
      </c>
      <c r="L1488" s="4">
        <v>43620</v>
      </c>
      <c r="M1488" s="140">
        <v>10</v>
      </c>
      <c r="P1488" s="4" t="s">
        <v>214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261</v>
      </c>
      <c r="B1489" s="114" t="str">
        <f>VLOOKUP(A1489,'Data pick slip'!B:F,5,FALSE)</f>
        <v>KHJ-MC100-00</v>
      </c>
      <c r="F1489" s="157" t="s">
        <v>379</v>
      </c>
      <c r="I1489" s="139" t="s">
        <v>533</v>
      </c>
      <c r="J1489" s="139" t="s">
        <v>631</v>
      </c>
      <c r="K1489" s="51" t="s">
        <v>225</v>
      </c>
      <c r="L1489" s="4">
        <v>43621</v>
      </c>
      <c r="M1489" s="140">
        <v>250</v>
      </c>
      <c r="P1489" s="4" t="s">
        <v>214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264</v>
      </c>
      <c r="B1490" s="114" t="str">
        <f>VLOOKUP(A1490,'Data pick slip'!B:F,5,FALSE)</f>
        <v>KHJ-MC200-00</v>
      </c>
      <c r="F1490" s="157" t="s">
        <v>379</v>
      </c>
      <c r="I1490" s="139" t="s">
        <v>533</v>
      </c>
      <c r="J1490" s="139" t="s">
        <v>631</v>
      </c>
      <c r="K1490" s="51" t="s">
        <v>225</v>
      </c>
      <c r="L1490" s="4">
        <v>43621</v>
      </c>
      <c r="M1490" s="140">
        <v>60</v>
      </c>
      <c r="P1490" s="4" t="s">
        <v>214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265</v>
      </c>
      <c r="B1491" s="114" t="str">
        <f>VLOOKUP(A1491,'Data pick slip'!B:F,5,FALSE)</f>
        <v>KHJ-MC400-00</v>
      </c>
      <c r="F1491" s="157" t="s">
        <v>379</v>
      </c>
      <c r="I1491" s="139" t="s">
        <v>533</v>
      </c>
      <c r="J1491" s="139" t="s">
        <v>631</v>
      </c>
      <c r="K1491" s="51" t="s">
        <v>225</v>
      </c>
      <c r="L1491" s="4">
        <v>43621</v>
      </c>
      <c r="M1491" s="140">
        <v>37</v>
      </c>
      <c r="P1491" s="4" t="s">
        <v>214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331</v>
      </c>
      <c r="B1492" s="114" t="str">
        <f>VLOOKUP(A1492,'Data pick slip'!B:F,5,FALSE)</f>
        <v>KHJ-MC600-00</v>
      </c>
      <c r="F1492" s="157" t="s">
        <v>379</v>
      </c>
      <c r="I1492" s="139" t="s">
        <v>533</v>
      </c>
      <c r="J1492" s="139" t="s">
        <v>631</v>
      </c>
      <c r="K1492" s="51" t="s">
        <v>225</v>
      </c>
      <c r="L1492" s="4">
        <v>43621</v>
      </c>
      <c r="M1492" s="140">
        <v>15</v>
      </c>
      <c r="P1492" s="4" t="s">
        <v>214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268</v>
      </c>
      <c r="B1493" s="114" t="str">
        <f>VLOOKUP(A1493,'Data pick slip'!B:F,5,FALSE)</f>
        <v>KHJ-MC700-00</v>
      </c>
      <c r="F1493" s="157" t="s">
        <v>379</v>
      </c>
      <c r="I1493" s="139" t="s">
        <v>533</v>
      </c>
      <c r="J1493" s="139" t="s">
        <v>631</v>
      </c>
      <c r="K1493" s="51" t="s">
        <v>225</v>
      </c>
      <c r="L1493" s="4">
        <v>43621</v>
      </c>
      <c r="M1493" s="140">
        <v>1</v>
      </c>
      <c r="P1493" s="4" t="s">
        <v>214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261</v>
      </c>
      <c r="B1494" s="114" t="str">
        <f>VLOOKUP(A1494,'Data pick slip'!B:F,5,FALSE)</f>
        <v>KHJ-MC100-00</v>
      </c>
      <c r="F1494" s="157" t="s">
        <v>290</v>
      </c>
      <c r="H1494" s="138">
        <v>338</v>
      </c>
      <c r="I1494" s="139" t="e">
        <f>VLOOKUP(H1494,Stock_list!A:R,18,FALSE)</f>
        <v>#N/A</v>
      </c>
      <c r="J1494" s="139" t="e">
        <f>VLOOKUP(H1494,Stock_list!A:S,17,FALSE)</f>
        <v>#N/A</v>
      </c>
      <c r="K1494" s="51" t="e">
        <f>VLOOKUP(H1494,Stock_list!A:T,16,FALSE)</f>
        <v>#N/A</v>
      </c>
      <c r="L1494" s="4">
        <v>43633</v>
      </c>
      <c r="M1494" s="132">
        <v>10</v>
      </c>
      <c r="P1494" s="4" t="e">
        <f>VLOOKUP(H1494,Stock_list!A:Y,25,FALSE)</f>
        <v>#N/A</v>
      </c>
      <c r="Q1494" s="143"/>
      <c r="T1494" s="144"/>
      <c r="U1494" s="145" t="e">
        <f>VLOOKUP(H1494,Stock_list!A:N,14,FALSE)</f>
        <v>#N/A</v>
      </c>
    </row>
    <row r="1495" spans="1:21" ht="16.5" customHeight="1">
      <c r="A1495" s="159" t="s">
        <v>264</v>
      </c>
      <c r="B1495" s="114" t="str">
        <f>VLOOKUP(A1495,'Data pick slip'!B:F,5,FALSE)</f>
        <v>KHJ-MC200-00</v>
      </c>
      <c r="F1495" s="157" t="s">
        <v>290</v>
      </c>
      <c r="H1495" s="138">
        <v>338</v>
      </c>
      <c r="I1495" s="139" t="e">
        <f>VLOOKUP(H1495,Stock_list!A:R,18,FALSE)</f>
        <v>#N/A</v>
      </c>
      <c r="J1495" s="139" t="e">
        <f>VLOOKUP(H1495,Stock_list!A:S,17,FALSE)</f>
        <v>#N/A</v>
      </c>
      <c r="K1495" s="51" t="e">
        <f>VLOOKUP(H1495,Stock_list!A:T,16,FALSE)</f>
        <v>#N/A</v>
      </c>
      <c r="L1495" s="4">
        <v>43633</v>
      </c>
      <c r="M1495" s="132">
        <v>10</v>
      </c>
      <c r="P1495" s="4" t="e">
        <f>VLOOKUP(H1495,Stock_list!A:Y,25,FALSE)</f>
        <v>#N/A</v>
      </c>
      <c r="Q1495" s="143"/>
      <c r="T1495" s="144"/>
      <c r="U1495" s="145" t="e">
        <f>VLOOKUP(H1495,Stock_list!A:N,14,FALSE)</f>
        <v>#N/A</v>
      </c>
    </row>
    <row r="1496" spans="1:21" ht="16.5" customHeight="1">
      <c r="A1496" s="159" t="s">
        <v>274</v>
      </c>
      <c r="B1496" s="114" t="str">
        <f>VLOOKUP(A1496,'Data pick slip'!B:F,5,FALSE)</f>
        <v>KLJ-MC400-00</v>
      </c>
      <c r="F1496" s="157" t="s">
        <v>290</v>
      </c>
      <c r="I1496" s="139" t="s">
        <v>371</v>
      </c>
      <c r="J1496" s="139" t="s">
        <v>632</v>
      </c>
      <c r="K1496" s="51" t="s">
        <v>520</v>
      </c>
      <c r="L1496" s="4">
        <v>43615</v>
      </c>
      <c r="M1496" s="140">
        <v>7</v>
      </c>
      <c r="P1496" s="4" t="s">
        <v>214</v>
      </c>
      <c r="Q1496" s="143"/>
      <c r="S1496" s="123" t="s">
        <v>521</v>
      </c>
      <c r="T1496" s="205" t="s">
        <v>591</v>
      </c>
      <c r="U1496" s="145" t="e">
        <f>VLOOKUP(H1496,Stock_list!A:N,14,FALSE)</f>
        <v>#N/A</v>
      </c>
    </row>
    <row r="1497" spans="1:21" ht="16.5" customHeight="1">
      <c r="A1497" s="159" t="s">
        <v>265</v>
      </c>
      <c r="B1497" s="114" t="str">
        <f>VLOOKUP(A1497,'Data pick slip'!B:F,5,FALSE)</f>
        <v>KHJ-MC400-00</v>
      </c>
      <c r="F1497" s="157" t="s">
        <v>290</v>
      </c>
      <c r="I1497" s="139" t="s">
        <v>371</v>
      </c>
      <c r="J1497" s="139" t="s">
        <v>632</v>
      </c>
      <c r="K1497" s="51" t="s">
        <v>520</v>
      </c>
      <c r="L1497" s="4">
        <v>43615</v>
      </c>
      <c r="M1497" s="140">
        <v>1</v>
      </c>
      <c r="P1497" s="4" t="s">
        <v>214</v>
      </c>
      <c r="Q1497" s="143"/>
      <c r="S1497" s="123" t="s">
        <v>521</v>
      </c>
      <c r="T1497" s="205" t="s">
        <v>591</v>
      </c>
      <c r="U1497" s="145" t="e">
        <f>VLOOKUP(H1497,Stock_list!A:N,14,FALSE)</f>
        <v>#N/A</v>
      </c>
    </row>
    <row r="1498" spans="1:21" ht="16.5" customHeight="1">
      <c r="A1498" s="159" t="s">
        <v>275</v>
      </c>
      <c r="B1498" s="114" t="str">
        <f>VLOOKUP(A1498,'Data pick slip'!B:F,5,FALSE)</f>
        <v>KLJ-MC500-00</v>
      </c>
      <c r="F1498" s="157" t="s">
        <v>290</v>
      </c>
      <c r="I1498" s="139" t="s">
        <v>371</v>
      </c>
      <c r="J1498" s="139" t="s">
        <v>632</v>
      </c>
      <c r="K1498" s="51" t="s">
        <v>520</v>
      </c>
      <c r="L1498" s="4">
        <v>43615</v>
      </c>
      <c r="M1498" s="140">
        <v>2</v>
      </c>
      <c r="P1498" s="4" t="s">
        <v>214</v>
      </c>
      <c r="Q1498" s="143"/>
      <c r="S1498" s="123" t="s">
        <v>521</v>
      </c>
      <c r="T1498" s="205" t="s">
        <v>591</v>
      </c>
      <c r="U1498" s="145" t="e">
        <f>VLOOKUP(H1498,Stock_list!A:N,14,FALSE)</f>
        <v>#N/A</v>
      </c>
    </row>
    <row r="1499" spans="1:21" ht="16.5" customHeight="1">
      <c r="A1499" s="159" t="s">
        <v>261</v>
      </c>
      <c r="B1499" s="114" t="str">
        <f>VLOOKUP(A1499,'Data pick slip'!B:F,5,FALSE)</f>
        <v>KHJ-MC100-00</v>
      </c>
      <c r="F1499" s="157" t="s">
        <v>290</v>
      </c>
      <c r="H1499" s="138">
        <v>344</v>
      </c>
      <c r="I1499" s="139" t="e">
        <f>VLOOKUP(H1499,Stock_list!A:R,18,FALSE)</f>
        <v>#N/A</v>
      </c>
      <c r="J1499" s="139" t="e">
        <f>VLOOKUP(H1499,Stock_list!A:S,17,FALSE)</f>
        <v>#N/A</v>
      </c>
      <c r="K1499" s="51" t="e">
        <f>VLOOKUP(H1499,Stock_list!A:T,16,FALSE)</f>
        <v>#N/A</v>
      </c>
      <c r="L1499" s="4">
        <v>43629</v>
      </c>
      <c r="M1499" s="132">
        <v>28</v>
      </c>
      <c r="P1499" s="4" t="e">
        <f>VLOOKUP(H1499,Stock_list!A:Y,25,FALSE)</f>
        <v>#N/A</v>
      </c>
      <c r="Q1499" s="143"/>
      <c r="T1499" s="144"/>
      <c r="U1499" s="145" t="e">
        <f>VLOOKUP(H1499,Stock_list!A:N,14,FALSE)</f>
        <v>#N/A</v>
      </c>
    </row>
    <row r="1500" spans="1:21" ht="16.5" customHeight="1">
      <c r="A1500" s="159" t="s">
        <v>264</v>
      </c>
      <c r="B1500" s="114" t="str">
        <f>VLOOKUP(A1500,'Data pick slip'!B:F,5,FALSE)</f>
        <v>KHJ-MC200-00</v>
      </c>
      <c r="F1500" s="157" t="s">
        <v>290</v>
      </c>
      <c r="H1500" s="138">
        <v>344</v>
      </c>
      <c r="I1500" s="139" t="e">
        <f>VLOOKUP(H1500,Stock_list!A:R,18,FALSE)</f>
        <v>#N/A</v>
      </c>
      <c r="J1500" s="139" t="e">
        <f>VLOOKUP(H1500,Stock_list!A:S,17,FALSE)</f>
        <v>#N/A</v>
      </c>
      <c r="K1500" s="51" t="e">
        <f>VLOOKUP(H1500,Stock_list!A:T,16,FALSE)</f>
        <v>#N/A</v>
      </c>
      <c r="L1500" s="4">
        <v>43629</v>
      </c>
      <c r="M1500" s="132">
        <v>12</v>
      </c>
      <c r="P1500" s="4" t="e">
        <f>VLOOKUP(H1500,Stock_list!A:Y,25,FALSE)</f>
        <v>#N/A</v>
      </c>
      <c r="Q1500" s="143"/>
      <c r="T1500" s="144"/>
      <c r="U1500" s="145" t="e">
        <f>VLOOKUP(H1500,Stock_list!A:N,14,FALSE)</f>
        <v>#N/A</v>
      </c>
    </row>
    <row r="1501" spans="1:21" ht="16.5" customHeight="1">
      <c r="A1501" s="159" t="s">
        <v>264</v>
      </c>
      <c r="B1501" s="114" t="str">
        <f>VLOOKUP(A1501,'Data pick slip'!B:F,5,FALSE)</f>
        <v>KHJ-MC200-00</v>
      </c>
      <c r="F1501" s="157" t="s">
        <v>290</v>
      </c>
      <c r="H1501" s="138">
        <v>343</v>
      </c>
      <c r="I1501" s="139" t="e">
        <f>VLOOKUP(H1501,Stock_list!A:R,18,FALSE)</f>
        <v>#N/A</v>
      </c>
      <c r="J1501" s="139" t="e">
        <f>VLOOKUP(H1501,Stock_list!A:S,17,FALSE)</f>
        <v>#N/A</v>
      </c>
      <c r="K1501" s="51" t="e">
        <f>VLOOKUP(H1501,Stock_list!A:T,16,FALSE)</f>
        <v>#N/A</v>
      </c>
      <c r="L1501" s="4">
        <v>43643</v>
      </c>
      <c r="M1501" s="132">
        <v>10</v>
      </c>
      <c r="P1501" s="4" t="e">
        <f>VLOOKUP(H1501,Stock_list!A:Y,25,FALSE)</f>
        <v>#N/A</v>
      </c>
      <c r="Q1501" s="143"/>
      <c r="T1501" s="144"/>
      <c r="U1501" s="145" t="e">
        <f>VLOOKUP(H1501,Stock_list!A:N,14,FALSE)</f>
        <v>#N/A</v>
      </c>
    </row>
    <row r="1502" spans="1:21" ht="16.5" customHeight="1">
      <c r="A1502" s="159" t="s">
        <v>265</v>
      </c>
      <c r="B1502" s="114" t="str">
        <f>VLOOKUP(A1502,'Data pick slip'!B:F,5,FALSE)</f>
        <v>KHJ-MC400-00</v>
      </c>
      <c r="F1502" s="157" t="s">
        <v>290</v>
      </c>
      <c r="H1502" s="138">
        <v>343</v>
      </c>
      <c r="I1502" s="139" t="e">
        <f>VLOOKUP(H1502,Stock_list!A:R,18,FALSE)</f>
        <v>#N/A</v>
      </c>
      <c r="J1502" s="139" t="e">
        <f>VLOOKUP(H1502,Stock_list!A:S,17,FALSE)</f>
        <v>#N/A</v>
      </c>
      <c r="K1502" s="51" t="e">
        <f>VLOOKUP(H1502,Stock_list!A:T,16,FALSE)</f>
        <v>#N/A</v>
      </c>
      <c r="L1502" s="4">
        <v>43643</v>
      </c>
      <c r="M1502" s="132">
        <v>1</v>
      </c>
      <c r="P1502" s="4" t="e">
        <f>VLOOKUP(H1502,Stock_list!A:Y,25,FALSE)</f>
        <v>#N/A</v>
      </c>
      <c r="Q1502" s="143"/>
      <c r="T1502" s="144"/>
      <c r="U1502" s="145" t="e">
        <f>VLOOKUP(H1502,Stock_list!A:N,14,FALSE)</f>
        <v>#N/A</v>
      </c>
    </row>
    <row r="1503" spans="1:21" ht="16.5" customHeight="1">
      <c r="A1503" s="159" t="s">
        <v>267</v>
      </c>
      <c r="B1503" s="114" t="str">
        <f>VLOOKUP(A1503,'Data pick slip'!B:F,5,FALSE)</f>
        <v>KHJ-MC600-00</v>
      </c>
      <c r="F1503" s="157" t="s">
        <v>290</v>
      </c>
      <c r="I1503" s="139" t="s">
        <v>633</v>
      </c>
      <c r="J1503" s="139" t="s">
        <v>634</v>
      </c>
      <c r="K1503" s="51" t="s">
        <v>520</v>
      </c>
      <c r="L1503" s="4">
        <v>43627</v>
      </c>
      <c r="M1503" s="140">
        <v>1</v>
      </c>
      <c r="P1503" s="4" t="s">
        <v>214</v>
      </c>
      <c r="Q1503" s="143"/>
      <c r="S1503" s="123" t="s">
        <v>521</v>
      </c>
      <c r="T1503" s="144" t="s">
        <v>635</v>
      </c>
      <c r="U1503" s="145" t="e">
        <f>VLOOKUP(H1503,Stock_list!A:N,14,FALSE)</f>
        <v>#N/A</v>
      </c>
    </row>
    <row r="1504" spans="1:21" ht="16.5" customHeight="1">
      <c r="A1504" s="159" t="s">
        <v>261</v>
      </c>
      <c r="B1504" s="114" t="str">
        <f>VLOOKUP(A1504,'Data pick slip'!B:F,5,FALSE)</f>
        <v>KHJ-MC100-00</v>
      </c>
      <c r="F1504" s="157" t="s">
        <v>379</v>
      </c>
      <c r="H1504" s="138">
        <v>346</v>
      </c>
      <c r="I1504" s="139" t="e">
        <f>VLOOKUP(H1504,Stock_list!A:R,18,FALSE)</f>
        <v>#N/A</v>
      </c>
      <c r="J1504" s="139" t="e">
        <f>VLOOKUP(H1504,Stock_list!A:S,17,FALSE)</f>
        <v>#N/A</v>
      </c>
      <c r="K1504" s="51" t="e">
        <f>VLOOKUP(H1504,Stock_list!A:T,16,FALSE)</f>
        <v>#N/A</v>
      </c>
      <c r="L1504" s="4">
        <v>43668</v>
      </c>
      <c r="M1504" s="132">
        <v>160</v>
      </c>
      <c r="P1504" s="4" t="e">
        <f>VLOOKUP(H1504,Stock_list!A:Y,25,FALSE)</f>
        <v>#N/A</v>
      </c>
      <c r="Q1504" s="143"/>
      <c r="T1504" s="144"/>
      <c r="U1504" s="145" t="e">
        <f>VLOOKUP(H1504,Stock_list!A:N,14,FALSE)</f>
        <v>#N/A</v>
      </c>
    </row>
    <row r="1505" spans="1:21" ht="16.5" customHeight="1">
      <c r="A1505" s="159" t="s">
        <v>264</v>
      </c>
      <c r="B1505" s="114" t="str">
        <f>VLOOKUP(A1505,'Data pick slip'!B:F,5,FALSE)</f>
        <v>KHJ-MC200-00</v>
      </c>
      <c r="F1505" s="157" t="s">
        <v>379</v>
      </c>
      <c r="H1505" s="138">
        <v>346</v>
      </c>
      <c r="I1505" s="139" t="e">
        <f>VLOOKUP(H1505,Stock_list!A:R,18,FALSE)</f>
        <v>#N/A</v>
      </c>
      <c r="J1505" s="139" t="e">
        <f>VLOOKUP(H1505,Stock_list!A:S,17,FALSE)</f>
        <v>#N/A</v>
      </c>
      <c r="K1505" s="51" t="e">
        <f>VLOOKUP(H1505,Stock_list!A:T,16,FALSE)</f>
        <v>#N/A</v>
      </c>
      <c r="L1505" s="4">
        <v>43668</v>
      </c>
      <c r="M1505" s="132">
        <v>35</v>
      </c>
      <c r="P1505" s="4" t="e">
        <f>VLOOKUP(H1505,Stock_list!A:Y,25,FALSE)</f>
        <v>#N/A</v>
      </c>
      <c r="Q1505" s="143"/>
      <c r="T1505" s="144"/>
      <c r="U1505" s="145" t="e">
        <f>VLOOKUP(H1505,Stock_list!A:N,14,FALSE)</f>
        <v>#N/A</v>
      </c>
    </row>
    <row r="1506" spans="1:21" ht="16.5" customHeight="1">
      <c r="A1506" s="159" t="s">
        <v>272</v>
      </c>
      <c r="B1506" s="114" t="str">
        <f>VLOOKUP(A1506,'Data pick slip'!B:F,5,FALSE)</f>
        <v>KLJ-MC100-00</v>
      </c>
      <c r="F1506" s="157" t="s">
        <v>290</v>
      </c>
      <c r="I1506" s="139" t="s">
        <v>611</v>
      </c>
      <c r="J1506" s="139" t="s">
        <v>636</v>
      </c>
      <c r="K1506" s="51" t="s">
        <v>225</v>
      </c>
      <c r="L1506" s="4">
        <v>43621</v>
      </c>
      <c r="M1506" s="140">
        <v>10</v>
      </c>
      <c r="P1506" s="4" t="s">
        <v>214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261</v>
      </c>
      <c r="B1507" s="114" t="str">
        <f>VLOOKUP(A1507,'Data pick slip'!B:F,5,FALSE)</f>
        <v>KHJ-MC100-00</v>
      </c>
      <c r="F1507" s="157" t="s">
        <v>379</v>
      </c>
      <c r="H1507" s="138">
        <v>351</v>
      </c>
      <c r="I1507" s="139" t="e">
        <f>VLOOKUP(H1507,Stock_list!A:R,18,FALSE)</f>
        <v>#N/A</v>
      </c>
      <c r="J1507" s="139" t="e">
        <f>VLOOKUP(H1507,Stock_list!A:S,17,FALSE)</f>
        <v>#N/A</v>
      </c>
      <c r="K1507" s="51" t="e">
        <f>VLOOKUP(H1507,Stock_list!A:T,16,FALSE)</f>
        <v>#N/A</v>
      </c>
      <c r="L1507" s="4">
        <v>43767</v>
      </c>
      <c r="M1507" s="132">
        <v>55</v>
      </c>
      <c r="P1507" s="4" t="e">
        <f>VLOOKUP(H1507,Stock_list!A:Y,25,FALSE)</f>
        <v>#N/A</v>
      </c>
      <c r="Q1507" s="143"/>
      <c r="T1507" s="144"/>
      <c r="U1507" s="145" t="e">
        <f>VLOOKUP(H1507,Stock_list!A:N,14,FALSE)</f>
        <v>#N/A</v>
      </c>
    </row>
    <row r="1508" spans="1:21" ht="16.5" customHeight="1">
      <c r="A1508" s="159" t="s">
        <v>264</v>
      </c>
      <c r="B1508" s="114" t="str">
        <f>VLOOKUP(A1508,'Data pick slip'!B:F,5,FALSE)</f>
        <v>KHJ-MC200-00</v>
      </c>
      <c r="F1508" s="157" t="s">
        <v>379</v>
      </c>
      <c r="H1508" s="138">
        <v>351</v>
      </c>
      <c r="I1508" s="139" t="e">
        <f>VLOOKUP(H1508,Stock_list!A:R,18,FALSE)</f>
        <v>#N/A</v>
      </c>
      <c r="J1508" s="139" t="e">
        <f>VLOOKUP(H1508,Stock_list!A:S,17,FALSE)</f>
        <v>#N/A</v>
      </c>
      <c r="K1508" s="51" t="e">
        <f>VLOOKUP(H1508,Stock_list!A:T,16,FALSE)</f>
        <v>#N/A</v>
      </c>
      <c r="L1508" s="4">
        <v>43767</v>
      </c>
      <c r="M1508" s="132">
        <v>10</v>
      </c>
      <c r="P1508" s="4" t="e">
        <f>VLOOKUP(H1508,Stock_list!A:Y,25,FALSE)</f>
        <v>#N/A</v>
      </c>
      <c r="Q1508" s="143"/>
      <c r="T1508" s="144"/>
      <c r="U1508" s="145" t="e">
        <f>VLOOKUP(H1508,Stock_list!A:N,14,FALSE)</f>
        <v>#N/A</v>
      </c>
    </row>
    <row r="1509" spans="1:21" ht="16.5" customHeight="1">
      <c r="A1509" s="159" t="s">
        <v>265</v>
      </c>
      <c r="B1509" s="114" t="str">
        <f>VLOOKUP(A1509,'Data pick slip'!B:F,5,FALSE)</f>
        <v>KHJ-MC400-00</v>
      </c>
      <c r="F1509" s="157" t="s">
        <v>290</v>
      </c>
      <c r="H1509" s="138">
        <v>351</v>
      </c>
      <c r="I1509" s="139" t="e">
        <f>VLOOKUP(H1509,Stock_list!A:R,18,FALSE)</f>
        <v>#N/A</v>
      </c>
      <c r="J1509" s="139" t="e">
        <f>VLOOKUP(H1509,Stock_list!A:S,17,FALSE)</f>
        <v>#N/A</v>
      </c>
      <c r="K1509" s="51" t="e">
        <f>VLOOKUP(H1509,Stock_list!A:T,16,FALSE)</f>
        <v>#N/A</v>
      </c>
      <c r="L1509" s="4">
        <v>43767</v>
      </c>
      <c r="M1509" s="132">
        <v>2</v>
      </c>
      <c r="P1509" s="4" t="e">
        <f>VLOOKUP(H1509,Stock_list!A:Y,25,FALSE)</f>
        <v>#N/A</v>
      </c>
      <c r="Q1509" s="143"/>
      <c r="S1509" s="123" t="s">
        <v>521</v>
      </c>
      <c r="T1509" s="205" t="s">
        <v>637</v>
      </c>
      <c r="U1509" s="145" t="e">
        <f>VLOOKUP(H1509,Stock_list!A:N,14,FALSE)</f>
        <v>#N/A</v>
      </c>
    </row>
    <row r="1510" spans="1:21" ht="16.5" customHeight="1">
      <c r="A1510" s="159" t="s">
        <v>266</v>
      </c>
      <c r="B1510" s="114" t="str">
        <f>VLOOKUP(A1510,'Data pick slip'!B:F,5,FALSE)</f>
        <v>KHJ-MC500-00</v>
      </c>
      <c r="F1510" s="157" t="s">
        <v>379</v>
      </c>
      <c r="H1510" s="138">
        <v>351</v>
      </c>
      <c r="I1510" s="139" t="e">
        <f>VLOOKUP(H1510,Stock_list!A:R,18,FALSE)</f>
        <v>#N/A</v>
      </c>
      <c r="J1510" s="139" t="e">
        <f>VLOOKUP(H1510,Stock_list!A:S,17,FALSE)</f>
        <v>#N/A</v>
      </c>
      <c r="K1510" s="51" t="e">
        <f>VLOOKUP(H1510,Stock_list!A:T,16,FALSE)</f>
        <v>#N/A</v>
      </c>
      <c r="L1510" s="4">
        <v>43767</v>
      </c>
      <c r="M1510" s="132">
        <v>1</v>
      </c>
      <c r="P1510" s="4" t="e">
        <f>VLOOKUP(H1510,Stock_list!A:Y,25,FALSE)</f>
        <v>#N/A</v>
      </c>
      <c r="Q1510" s="143"/>
      <c r="T1510" s="144"/>
      <c r="U1510" s="145" t="e">
        <f>VLOOKUP(H1510,Stock_list!A:N,14,FALSE)</f>
        <v>#N/A</v>
      </c>
    </row>
    <row r="1511" spans="1:21" ht="16.5" customHeight="1">
      <c r="A1511" s="159" t="s">
        <v>272</v>
      </c>
      <c r="B1511" s="114" t="str">
        <f>VLOOKUP(A1511,'Data pick slip'!B:F,5,FALSE)</f>
        <v>KLJ-MC100-00</v>
      </c>
      <c r="F1511" s="157" t="s">
        <v>290</v>
      </c>
      <c r="H1511" s="138">
        <v>354</v>
      </c>
      <c r="I1511" s="139" t="e">
        <f>VLOOKUP(H1511,Stock_list!A:R,18,FALSE)</f>
        <v>#N/A</v>
      </c>
      <c r="J1511" s="139" t="e">
        <f>VLOOKUP(H1511,Stock_list!A:S,17,FALSE)</f>
        <v>#N/A</v>
      </c>
      <c r="K1511" s="51" t="e">
        <f>VLOOKUP(H1511,Stock_list!A:T,16,FALSE)</f>
        <v>#N/A</v>
      </c>
      <c r="L1511" s="4">
        <v>43642</v>
      </c>
      <c r="M1511" s="132">
        <v>50</v>
      </c>
      <c r="P1511" s="4" t="e">
        <f>VLOOKUP(H1511,Stock_list!A:Y,25,FALSE)</f>
        <v>#N/A</v>
      </c>
      <c r="Q1511" s="143"/>
      <c r="T1511" s="144"/>
      <c r="U1511" s="145" t="e">
        <f>VLOOKUP(H1511,Stock_list!A:N,14,FALSE)</f>
        <v>#N/A</v>
      </c>
    </row>
    <row r="1512" spans="1:21" ht="16.5" customHeight="1">
      <c r="A1512" s="159" t="s">
        <v>273</v>
      </c>
      <c r="B1512" s="114" t="str">
        <f>VLOOKUP(A1512,'Data pick slip'!B:F,5,FALSE)</f>
        <v>KLJ-MC200-00</v>
      </c>
      <c r="F1512" s="157" t="s">
        <v>290</v>
      </c>
      <c r="H1512" s="138">
        <v>354</v>
      </c>
      <c r="I1512" s="139" t="e">
        <f>VLOOKUP(H1512,Stock_list!A:R,18,FALSE)</f>
        <v>#N/A</v>
      </c>
      <c r="J1512" s="139" t="e">
        <f>VLOOKUP(H1512,Stock_list!A:S,17,FALSE)</f>
        <v>#N/A</v>
      </c>
      <c r="K1512" s="51" t="e">
        <f>VLOOKUP(H1512,Stock_list!A:T,16,FALSE)</f>
        <v>#N/A</v>
      </c>
      <c r="L1512" s="4">
        <v>43642</v>
      </c>
      <c r="M1512" s="132">
        <v>8</v>
      </c>
      <c r="P1512" s="4" t="e">
        <f>VLOOKUP(H1512,Stock_list!A:Y,25,FALSE)</f>
        <v>#N/A</v>
      </c>
      <c r="T1512" s="144"/>
      <c r="U1512" s="145" t="e">
        <f>VLOOKUP(H1512,Stock_list!A:N,14,FALSE)</f>
        <v>#N/A</v>
      </c>
    </row>
    <row r="1513" spans="1:21" ht="16.5" customHeight="1">
      <c r="A1513" s="159" t="s">
        <v>274</v>
      </c>
      <c r="B1513" s="114" t="str">
        <f>VLOOKUP(A1513,'Data pick slip'!B:F,5,FALSE)</f>
        <v>KLJ-MC400-00</v>
      </c>
      <c r="F1513" s="157" t="s">
        <v>290</v>
      </c>
      <c r="H1513" s="138">
        <v>354</v>
      </c>
      <c r="I1513" s="139" t="e">
        <f>VLOOKUP(H1513,Stock_list!A:R,18,FALSE)</f>
        <v>#N/A</v>
      </c>
      <c r="J1513" s="139" t="e">
        <f>VLOOKUP(H1513,Stock_list!A:S,17,FALSE)</f>
        <v>#N/A</v>
      </c>
      <c r="K1513" s="51" t="e">
        <f>VLOOKUP(H1513,Stock_list!A:T,16,FALSE)</f>
        <v>#N/A</v>
      </c>
      <c r="L1513" s="4">
        <v>43642</v>
      </c>
      <c r="M1513" s="132">
        <v>2</v>
      </c>
      <c r="P1513" s="4" t="e">
        <f>VLOOKUP(H1513,Stock_list!A:Y,25,FALSE)</f>
        <v>#N/A</v>
      </c>
      <c r="Q1513" s="143"/>
      <c r="T1513" s="144"/>
      <c r="U1513" s="145" t="e">
        <f>VLOOKUP(H1513,Stock_list!A:N,14,FALSE)</f>
        <v>#N/A</v>
      </c>
    </row>
    <row r="1514" spans="1:21" ht="16.5" customHeight="1">
      <c r="A1514" s="159" t="s">
        <v>261</v>
      </c>
      <c r="B1514" s="114" t="str">
        <f>VLOOKUP(A1514,'Data pick slip'!B:F,5,FALSE)</f>
        <v>KHJ-MC100-00</v>
      </c>
      <c r="F1514" s="157" t="s">
        <v>290</v>
      </c>
      <c r="H1514" s="138">
        <v>355</v>
      </c>
      <c r="I1514" s="139" t="e">
        <f>VLOOKUP(H1514,Stock_list!A:R,18,FALSE)</f>
        <v>#N/A</v>
      </c>
      <c r="J1514" s="139" t="e">
        <f>VLOOKUP(H1514,Stock_list!A:S,17,FALSE)</f>
        <v>#N/A</v>
      </c>
      <c r="K1514" s="51" t="e">
        <f>VLOOKUP(H1514,Stock_list!A:T,16,FALSE)</f>
        <v>#N/A</v>
      </c>
      <c r="L1514" s="4">
        <v>43640</v>
      </c>
      <c r="M1514" s="140">
        <v>20</v>
      </c>
      <c r="P1514" s="4" t="e">
        <f>VLOOKUP(H1514,Stock_list!A:Y,25,FALSE)</f>
        <v>#N/A</v>
      </c>
      <c r="Q1514" s="143"/>
      <c r="T1514" s="144"/>
      <c r="U1514" s="145" t="e">
        <f>VLOOKUP(H1514,Stock_list!A:N,14,FALSE)</f>
        <v>#N/A</v>
      </c>
    </row>
    <row r="1515" spans="1:21" ht="16.5" customHeight="1">
      <c r="A1515" s="159" t="s">
        <v>261</v>
      </c>
      <c r="B1515" s="114" t="str">
        <f>VLOOKUP(A1515,'Data pick slip'!B:F,5,FALSE)</f>
        <v>KHJ-MC100-00</v>
      </c>
      <c r="F1515" s="157" t="s">
        <v>290</v>
      </c>
      <c r="H1515" s="138">
        <v>356</v>
      </c>
      <c r="I1515" s="139" t="e">
        <f>VLOOKUP(H1515,Stock_list!A:R,18,FALSE)</f>
        <v>#N/A</v>
      </c>
      <c r="J1515" s="139" t="e">
        <f>VLOOKUP(H1515,Stock_list!A:S,17,FALSE)</f>
        <v>#N/A</v>
      </c>
      <c r="K1515" s="51" t="e">
        <f>VLOOKUP(H1515,Stock_list!A:T,16,FALSE)</f>
        <v>#N/A</v>
      </c>
      <c r="L1515" s="4">
        <v>43647</v>
      </c>
      <c r="M1515" s="140">
        <v>5</v>
      </c>
      <c r="P1515" s="4" t="e">
        <f>VLOOKUP(H1515,Stock_list!A:Y,25,FALSE)</f>
        <v>#N/A</v>
      </c>
      <c r="Q1515" s="143"/>
      <c r="T1515" s="144"/>
      <c r="U1515" s="145" t="e">
        <f>VLOOKUP(H1515,Stock_list!A:N,14,FALSE)</f>
        <v>#N/A</v>
      </c>
    </row>
    <row r="1516" spans="1:21" ht="16.5" customHeight="1">
      <c r="A1516" s="159" t="s">
        <v>261</v>
      </c>
      <c r="B1516" s="114" t="str">
        <f>VLOOKUP(A1516,'Data pick slip'!B:F,5,FALSE)</f>
        <v>KHJ-MC100-00</v>
      </c>
      <c r="F1516" s="157" t="s">
        <v>379</v>
      </c>
      <c r="I1516" s="139" t="s">
        <v>533</v>
      </c>
      <c r="J1516" s="139" t="s">
        <v>638</v>
      </c>
      <c r="K1516" s="51" t="s">
        <v>225</v>
      </c>
      <c r="L1516" s="4">
        <v>43634</v>
      </c>
      <c r="M1516" s="140">
        <v>40</v>
      </c>
      <c r="P1516" s="4" t="s">
        <v>214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264</v>
      </c>
      <c r="B1517" s="114" t="str">
        <f>VLOOKUP(A1517,'Data pick slip'!B:F,5,FALSE)</f>
        <v>KHJ-MC200-00</v>
      </c>
      <c r="F1517" s="157" t="s">
        <v>379</v>
      </c>
      <c r="I1517" s="139" t="s">
        <v>533</v>
      </c>
      <c r="J1517" s="139" t="s">
        <v>638</v>
      </c>
      <c r="K1517" s="51" t="s">
        <v>225</v>
      </c>
      <c r="L1517" s="4">
        <v>43634</v>
      </c>
      <c r="M1517" s="140">
        <v>10</v>
      </c>
      <c r="P1517" s="4" t="s">
        <v>214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261</v>
      </c>
      <c r="B1518" s="114" t="str">
        <f>VLOOKUP(A1518,'Data pick slip'!B:F,5,FALSE)</f>
        <v>KHJ-MC100-00</v>
      </c>
      <c r="F1518" s="157" t="s">
        <v>379</v>
      </c>
      <c r="I1518" s="139" t="s">
        <v>533</v>
      </c>
      <c r="J1518" s="139" t="s">
        <v>639</v>
      </c>
      <c r="K1518" s="51" t="s">
        <v>225</v>
      </c>
      <c r="L1518" s="4">
        <v>43627</v>
      </c>
      <c r="M1518" s="140">
        <v>100</v>
      </c>
      <c r="P1518" s="4" t="s">
        <v>214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264</v>
      </c>
      <c r="B1519" s="114" t="str">
        <f>VLOOKUP(A1519,'Data pick slip'!B:F,5,FALSE)</f>
        <v>KHJ-MC200-00</v>
      </c>
      <c r="F1519" s="157" t="s">
        <v>379</v>
      </c>
      <c r="I1519" s="139" t="s">
        <v>533</v>
      </c>
      <c r="J1519" s="139" t="s">
        <v>639</v>
      </c>
      <c r="K1519" s="51" t="s">
        <v>225</v>
      </c>
      <c r="L1519" s="4">
        <v>43627</v>
      </c>
      <c r="M1519" s="140">
        <v>30</v>
      </c>
      <c r="P1519" s="4" t="s">
        <v>214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266</v>
      </c>
      <c r="B1520" s="114" t="str">
        <f>VLOOKUP(A1520,'Data pick slip'!B:F,5,FALSE)</f>
        <v>KHJ-MC500-00</v>
      </c>
      <c r="F1520" s="157" t="s">
        <v>379</v>
      </c>
      <c r="I1520" s="139" t="s">
        <v>533</v>
      </c>
      <c r="J1520" s="139" t="s">
        <v>639</v>
      </c>
      <c r="K1520" s="51" t="s">
        <v>225</v>
      </c>
      <c r="L1520" s="4">
        <v>43627</v>
      </c>
      <c r="M1520" s="140">
        <v>5</v>
      </c>
      <c r="P1520" s="4" t="s">
        <v>214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272</v>
      </c>
      <c r="B1521" s="114" t="str">
        <f>VLOOKUP(A1521,'Data pick slip'!B:F,5,FALSE)</f>
        <v>KLJ-MC100-00</v>
      </c>
      <c r="F1521" s="157" t="s">
        <v>379</v>
      </c>
      <c r="I1521" s="139" t="s">
        <v>533</v>
      </c>
      <c r="J1521" s="139" t="s">
        <v>639</v>
      </c>
      <c r="K1521" s="51" t="s">
        <v>225</v>
      </c>
      <c r="L1521" s="4">
        <v>43627</v>
      </c>
      <c r="M1521" s="140">
        <v>50</v>
      </c>
      <c r="P1521" s="4" t="s">
        <v>214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261</v>
      </c>
      <c r="B1522" s="114" t="str">
        <f>VLOOKUP(A1522,'Data pick slip'!B:F,5,FALSE)</f>
        <v>KHJ-MC100-00</v>
      </c>
      <c r="F1522" s="157" t="s">
        <v>290</v>
      </c>
      <c r="H1522" s="138">
        <v>359</v>
      </c>
      <c r="I1522" s="139" t="e">
        <f>VLOOKUP(H1522,Stock_list!A:R,18,FALSE)</f>
        <v>#N/A</v>
      </c>
      <c r="J1522" s="139" t="e">
        <f>VLOOKUP(H1522,Stock_list!A:S,17,FALSE)</f>
        <v>#N/A</v>
      </c>
      <c r="K1522" s="51" t="e">
        <f>VLOOKUP(H1522,Stock_list!A:T,16,FALSE)</f>
        <v>#N/A</v>
      </c>
      <c r="L1522" s="4">
        <v>43657</v>
      </c>
      <c r="M1522" s="140">
        <v>75</v>
      </c>
      <c r="P1522" s="4" t="e">
        <f>VLOOKUP(H1522,Stock_list!A:Y,25,FALSE)</f>
        <v>#N/A</v>
      </c>
      <c r="Q1522" s="143"/>
      <c r="T1522" s="144"/>
      <c r="U1522" s="145" t="e">
        <f>VLOOKUP(H1522,Stock_list!A:N,14,FALSE)</f>
        <v>#N/A</v>
      </c>
    </row>
    <row r="1523" spans="1:21" ht="16.5" customHeight="1">
      <c r="A1523" s="159" t="s">
        <v>264</v>
      </c>
      <c r="B1523" s="114" t="str">
        <f>VLOOKUP(A1523,'Data pick slip'!B:F,5,FALSE)</f>
        <v>KHJ-MC200-00</v>
      </c>
      <c r="F1523" s="157" t="s">
        <v>290</v>
      </c>
      <c r="H1523" s="209">
        <v>359</v>
      </c>
      <c r="I1523" s="139" t="e">
        <f>VLOOKUP(H1523,Stock_list!A:R,18,FALSE)</f>
        <v>#N/A</v>
      </c>
      <c r="J1523" s="139" t="e">
        <f>VLOOKUP(H1523,Stock_list!A:S,17,FALSE)</f>
        <v>#N/A</v>
      </c>
      <c r="K1523" s="51" t="e">
        <f>VLOOKUP(H1523,Stock_list!A:T,16,FALSE)</f>
        <v>#N/A</v>
      </c>
      <c r="L1523" s="4">
        <v>43663</v>
      </c>
      <c r="M1523" s="140">
        <v>14</v>
      </c>
      <c r="P1523" s="4" t="e">
        <f>VLOOKUP(H1523,Stock_list!A:Y,25,FALSE)</f>
        <v>#N/A</v>
      </c>
      <c r="Q1523" s="143"/>
      <c r="T1523" s="144"/>
      <c r="U1523" s="145" t="e">
        <f>VLOOKUP(H1523,Stock_list!A:N,14,FALSE)</f>
        <v>#N/A</v>
      </c>
    </row>
    <row r="1524" spans="1:21" ht="16.5" customHeight="1">
      <c r="A1524" s="159" t="s">
        <v>265</v>
      </c>
      <c r="B1524" s="114" t="str">
        <f>VLOOKUP(A1524,'Data pick slip'!B:F,5,FALSE)</f>
        <v>KHJ-MC400-00</v>
      </c>
      <c r="F1524" s="157" t="s">
        <v>290</v>
      </c>
      <c r="H1524" s="138">
        <v>359</v>
      </c>
      <c r="I1524" s="139" t="e">
        <f>VLOOKUP(H1524,Stock_list!A:R,18,FALSE)</f>
        <v>#N/A</v>
      </c>
      <c r="J1524" s="139" t="e">
        <f>VLOOKUP(H1524,Stock_list!A:S,17,FALSE)</f>
        <v>#N/A</v>
      </c>
      <c r="K1524" s="51" t="e">
        <f>VLOOKUP(H1524,Stock_list!A:T,16,FALSE)</f>
        <v>#N/A</v>
      </c>
      <c r="L1524" s="4">
        <v>43651</v>
      </c>
      <c r="M1524" s="140">
        <v>2</v>
      </c>
      <c r="P1524" s="4" t="e">
        <f>VLOOKUP(H1524,Stock_list!A:Y,25,FALSE)</f>
        <v>#N/A</v>
      </c>
      <c r="Q1524" s="143"/>
      <c r="T1524" s="144"/>
      <c r="U1524" s="145" t="e">
        <f>VLOOKUP(H1524,Stock_list!A:N,14,FALSE)</f>
        <v>#N/A</v>
      </c>
    </row>
    <row r="1525" spans="1:21" ht="16.5" customHeight="1">
      <c r="A1525" s="159" t="s">
        <v>266</v>
      </c>
      <c r="B1525" s="114" t="str">
        <f>VLOOKUP(A1525,'Data pick slip'!B:F,5,FALSE)</f>
        <v>KHJ-MC500-00</v>
      </c>
      <c r="F1525" s="157" t="s">
        <v>290</v>
      </c>
      <c r="H1525" s="138">
        <v>359</v>
      </c>
      <c r="I1525" s="139" t="e">
        <f>VLOOKUP(H1525,Stock_list!A:R,18,FALSE)</f>
        <v>#N/A</v>
      </c>
      <c r="J1525" s="139" t="e">
        <f>VLOOKUP(H1525,Stock_list!A:S,17,FALSE)</f>
        <v>#N/A</v>
      </c>
      <c r="K1525" s="51" t="e">
        <f>VLOOKUP(H1525,Stock_list!A:T,16,FALSE)</f>
        <v>#N/A</v>
      </c>
      <c r="L1525" s="4">
        <v>43663</v>
      </c>
      <c r="M1525" s="132">
        <v>1</v>
      </c>
      <c r="P1525" s="4" t="e">
        <f>VLOOKUP(H1525,Stock_list!A:Y,25,FALSE)</f>
        <v>#N/A</v>
      </c>
      <c r="Q1525" s="143"/>
      <c r="T1525" s="144"/>
      <c r="U1525" s="145" t="e">
        <f>VLOOKUP(H1525,Stock_list!A:N,14,FALSE)</f>
        <v>#N/A</v>
      </c>
    </row>
    <row r="1526" spans="1:21" ht="16.5" customHeight="1">
      <c r="A1526" s="159" t="s">
        <v>267</v>
      </c>
      <c r="B1526" s="114" t="str">
        <f>VLOOKUP(A1526,'Data pick slip'!B:F,5,FALSE)</f>
        <v>KHJ-MC600-00</v>
      </c>
      <c r="F1526" s="157" t="s">
        <v>290</v>
      </c>
      <c r="H1526" s="138">
        <v>359</v>
      </c>
      <c r="I1526" s="139" t="e">
        <f>VLOOKUP(H1526,Stock_list!A:R,18,FALSE)</f>
        <v>#N/A</v>
      </c>
      <c r="J1526" s="139" t="e">
        <f>VLOOKUP(H1526,Stock_list!A:S,17,FALSE)</f>
        <v>#N/A</v>
      </c>
      <c r="K1526" s="51" t="e">
        <f>VLOOKUP(H1526,Stock_list!A:T,16,FALSE)</f>
        <v>#N/A</v>
      </c>
      <c r="L1526" s="4">
        <v>43663</v>
      </c>
      <c r="M1526" s="132">
        <v>1</v>
      </c>
      <c r="P1526" s="4" t="e">
        <f>VLOOKUP(H1526,Stock_list!A:Y,25,FALSE)</f>
        <v>#N/A</v>
      </c>
      <c r="Q1526" s="143"/>
      <c r="T1526" s="144"/>
      <c r="U1526" s="145" t="e">
        <f>VLOOKUP(H1526,Stock_list!A:N,14,FALSE)</f>
        <v>#N/A</v>
      </c>
    </row>
    <row r="1527" spans="1:21" ht="16.5" customHeight="1">
      <c r="A1527" s="159" t="s">
        <v>272</v>
      </c>
      <c r="B1527" s="114" t="str">
        <f>VLOOKUP(A1527,'Data pick slip'!B:F,5,FALSE)</f>
        <v>KLJ-MC100-00</v>
      </c>
      <c r="F1527" s="157" t="s">
        <v>379</v>
      </c>
      <c r="I1527" s="139" t="s">
        <v>533</v>
      </c>
      <c r="J1527" s="139" t="s">
        <v>640</v>
      </c>
      <c r="K1527" s="51" t="s">
        <v>641</v>
      </c>
      <c r="L1527" s="4">
        <v>43642</v>
      </c>
      <c r="M1527" s="140">
        <v>51</v>
      </c>
      <c r="P1527" s="4" t="s">
        <v>214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273</v>
      </c>
      <c r="B1528" s="114" t="str">
        <f>VLOOKUP(A1528,'Data pick slip'!B:F,5,FALSE)</f>
        <v>KLJ-MC200-00</v>
      </c>
      <c r="F1528" s="157" t="s">
        <v>379</v>
      </c>
      <c r="I1528" s="139" t="s">
        <v>533</v>
      </c>
      <c r="J1528" s="139" t="s">
        <v>640</v>
      </c>
      <c r="K1528" s="51" t="s">
        <v>641</v>
      </c>
      <c r="L1528" s="4">
        <v>43642</v>
      </c>
      <c r="M1528" s="140">
        <v>29</v>
      </c>
      <c r="P1528" s="4" t="s">
        <v>214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274</v>
      </c>
      <c r="B1529" s="114" t="str">
        <f>VLOOKUP(A1529,'Data pick slip'!B:F,5,FALSE)</f>
        <v>KLJ-MC400-00</v>
      </c>
      <c r="F1529" s="157" t="s">
        <v>379</v>
      </c>
      <c r="I1529" s="139" t="s">
        <v>533</v>
      </c>
      <c r="J1529" s="139" t="s">
        <v>640</v>
      </c>
      <c r="K1529" s="51" t="s">
        <v>641</v>
      </c>
      <c r="L1529" s="4">
        <v>43642</v>
      </c>
      <c r="M1529" s="140">
        <v>9</v>
      </c>
      <c r="P1529" s="4" t="s">
        <v>214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264</v>
      </c>
      <c r="B1530" s="114" t="str">
        <f>VLOOKUP(A1530,'Data pick slip'!B:F,5,FALSE)</f>
        <v>KHJ-MC200-00</v>
      </c>
      <c r="F1530" s="157" t="s">
        <v>379</v>
      </c>
      <c r="I1530" s="139" t="s">
        <v>533</v>
      </c>
      <c r="J1530" s="139" t="s">
        <v>640</v>
      </c>
      <c r="K1530" s="51" t="s">
        <v>641</v>
      </c>
      <c r="L1530" s="4">
        <v>43642</v>
      </c>
      <c r="M1530" s="140">
        <v>10</v>
      </c>
      <c r="P1530" s="4" t="s">
        <v>214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272</v>
      </c>
      <c r="B1531" s="114" t="str">
        <f>VLOOKUP(A1531,'Data pick slip'!B:F,5,FALSE)</f>
        <v>KLJ-MC100-00</v>
      </c>
      <c r="F1531" s="157" t="s">
        <v>379</v>
      </c>
      <c r="H1531" s="138">
        <v>361</v>
      </c>
      <c r="I1531" s="139" t="e">
        <f>VLOOKUP(H1531,Stock_list!A:R,18,FALSE)</f>
        <v>#N/A</v>
      </c>
      <c r="J1531" s="139" t="e">
        <f>VLOOKUP(H1531,Stock_list!A:S,17,FALSE)</f>
        <v>#N/A</v>
      </c>
      <c r="K1531" s="51" t="e">
        <f>VLOOKUP(H1531,Stock_list!A:T,16,FALSE)</f>
        <v>#N/A</v>
      </c>
      <c r="L1531" s="4">
        <v>43735</v>
      </c>
      <c r="M1531" s="132">
        <v>220</v>
      </c>
      <c r="P1531" s="4" t="e">
        <f>VLOOKUP(H1531,Stock_list!A:Y,25,FALSE)</f>
        <v>#N/A</v>
      </c>
      <c r="Q1531" s="143"/>
      <c r="T1531" s="144"/>
      <c r="U1531" s="145" t="e">
        <f>VLOOKUP(H1531,Stock_list!A:N,14,FALSE)</f>
        <v>#N/A</v>
      </c>
    </row>
    <row r="1532" spans="1:21" ht="16.5" customHeight="1">
      <c r="A1532" s="159" t="s">
        <v>273</v>
      </c>
      <c r="B1532" s="114" t="str">
        <f>VLOOKUP(A1532,'Data pick slip'!B:F,5,FALSE)</f>
        <v>KLJ-MC200-00</v>
      </c>
      <c r="F1532" s="157" t="s">
        <v>379</v>
      </c>
      <c r="H1532" s="138">
        <v>361</v>
      </c>
      <c r="I1532" s="139" t="e">
        <f>VLOOKUP(H1532,Stock_list!A:R,18,FALSE)</f>
        <v>#N/A</v>
      </c>
      <c r="J1532" s="139" t="e">
        <f>VLOOKUP(H1532,Stock_list!A:S,17,FALSE)</f>
        <v>#N/A</v>
      </c>
      <c r="K1532" s="51" t="e">
        <f>VLOOKUP(H1532,Stock_list!A:T,16,FALSE)</f>
        <v>#N/A</v>
      </c>
      <c r="L1532" s="4">
        <v>43735</v>
      </c>
      <c r="M1532" s="132">
        <v>55</v>
      </c>
      <c r="P1532" s="4" t="e">
        <f>VLOOKUP(H1532,Stock_list!A:Y,25,FALSE)</f>
        <v>#N/A</v>
      </c>
      <c r="T1532" s="144"/>
      <c r="U1532" s="145" t="e">
        <f>VLOOKUP(H1532,Stock_list!A:N,14,FALSE)</f>
        <v>#N/A</v>
      </c>
    </row>
    <row r="1533" spans="1:21" ht="16.5" customHeight="1">
      <c r="A1533" s="159" t="s">
        <v>274</v>
      </c>
      <c r="B1533" s="114" t="str">
        <f>VLOOKUP(A1533,'Data pick slip'!B:F,5,FALSE)</f>
        <v>KLJ-MC400-00</v>
      </c>
      <c r="F1533" s="157" t="s">
        <v>379</v>
      </c>
      <c r="H1533" s="138">
        <v>361</v>
      </c>
      <c r="I1533" s="139" t="e">
        <f>VLOOKUP(H1533,Stock_list!A:R,18,FALSE)</f>
        <v>#N/A</v>
      </c>
      <c r="J1533" s="139" t="e">
        <f>VLOOKUP(H1533,Stock_list!A:S,17,FALSE)</f>
        <v>#N/A</v>
      </c>
      <c r="K1533" s="51" t="e">
        <f>VLOOKUP(H1533,Stock_list!A:T,16,FALSE)</f>
        <v>#N/A</v>
      </c>
      <c r="L1533" s="4">
        <v>43735</v>
      </c>
      <c r="M1533" s="132">
        <v>5</v>
      </c>
      <c r="P1533" s="4" t="e">
        <f>VLOOKUP(H1533,Stock_list!A:Y,25,FALSE)</f>
        <v>#N/A</v>
      </c>
      <c r="Q1533" s="143"/>
      <c r="T1533" s="144"/>
      <c r="U1533" s="145" t="e">
        <f>VLOOKUP(H1533,Stock_list!A:N,14,FALSE)</f>
        <v>#N/A</v>
      </c>
    </row>
    <row r="1534" spans="1:21" ht="16.5" customHeight="1">
      <c r="A1534" s="159" t="s">
        <v>275</v>
      </c>
      <c r="B1534" s="114" t="str">
        <f>VLOOKUP(A1534,'Data pick slip'!B:F,5,FALSE)</f>
        <v>KLJ-MC500-00</v>
      </c>
      <c r="F1534" s="157" t="s">
        <v>379</v>
      </c>
      <c r="H1534" s="138">
        <v>361</v>
      </c>
      <c r="I1534" s="139" t="e">
        <f>VLOOKUP(H1534,Stock_list!A:R,18,FALSE)</f>
        <v>#N/A</v>
      </c>
      <c r="J1534" s="139" t="e">
        <f>VLOOKUP(H1534,Stock_list!A:S,17,FALSE)</f>
        <v>#N/A</v>
      </c>
      <c r="K1534" s="51" t="e">
        <f>VLOOKUP(H1534,Stock_list!A:T,16,FALSE)</f>
        <v>#N/A</v>
      </c>
      <c r="L1534" s="4">
        <v>43735</v>
      </c>
      <c r="M1534" s="132">
        <v>4</v>
      </c>
      <c r="P1534" s="4" t="e">
        <f>VLOOKUP(H1534,Stock_list!A:Y,25,FALSE)</f>
        <v>#N/A</v>
      </c>
      <c r="Q1534" s="143"/>
      <c r="T1534" s="144"/>
      <c r="U1534" s="145" t="e">
        <f>VLOOKUP(H1534,Stock_list!A:N,14,FALSE)</f>
        <v>#N/A</v>
      </c>
    </row>
    <row r="1535" spans="1:21" ht="16.5" customHeight="1">
      <c r="A1535" s="159" t="s">
        <v>276</v>
      </c>
      <c r="B1535" s="114" t="str">
        <f>VLOOKUP(A1535,'Data pick slip'!B:F,5,FALSE)</f>
        <v>KLJ-MC600-00</v>
      </c>
      <c r="F1535" s="157" t="s">
        <v>290</v>
      </c>
      <c r="H1535" s="138">
        <v>361</v>
      </c>
      <c r="I1535" s="139" t="e">
        <f>VLOOKUP(H1535,Stock_list!A:R,18,FALSE)</f>
        <v>#N/A</v>
      </c>
      <c r="J1535" s="139" t="e">
        <f>VLOOKUP(H1535,Stock_list!A:S,17,FALSE)</f>
        <v>#N/A</v>
      </c>
      <c r="K1535" s="51" t="e">
        <f>VLOOKUP(H1535,Stock_list!A:T,16,FALSE)</f>
        <v>#N/A</v>
      </c>
      <c r="L1535" s="4">
        <v>43735</v>
      </c>
      <c r="M1535" s="132">
        <v>1</v>
      </c>
      <c r="P1535" s="4" t="e">
        <f>VLOOKUP(H1535,Stock_list!A:Y,25,FALSE)</f>
        <v>#N/A</v>
      </c>
      <c r="Q1535" s="143"/>
      <c r="S1535" s="123" t="s">
        <v>521</v>
      </c>
      <c r="T1535" s="205" t="s">
        <v>580</v>
      </c>
      <c r="U1535" s="145" t="e">
        <f>VLOOKUP(H1535,Stock_list!A:N,14,FALSE)</f>
        <v>#N/A</v>
      </c>
    </row>
    <row r="1536" spans="1:21" ht="16.5" customHeight="1">
      <c r="A1536" s="155" t="s">
        <v>285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379</v>
      </c>
      <c r="H1536" s="138">
        <v>5</v>
      </c>
      <c r="I1536" s="139" t="s">
        <v>371</v>
      </c>
      <c r="J1536" s="139" t="s">
        <v>538</v>
      </c>
      <c r="K1536" s="51" t="s">
        <v>520</v>
      </c>
      <c r="L1536" s="4">
        <v>43915</v>
      </c>
      <c r="M1536" s="140">
        <v>27</v>
      </c>
      <c r="P1536" s="4" t="s">
        <v>214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276</v>
      </c>
      <c r="B1537" s="114" t="str">
        <f>VLOOKUP(A1537,'Data pick slip'!B:F,5,FALSE)</f>
        <v>KLJ-MC600-00</v>
      </c>
      <c r="F1537" s="157" t="s">
        <v>290</v>
      </c>
      <c r="H1537" s="138">
        <v>361</v>
      </c>
      <c r="I1537" s="139" t="e">
        <f>VLOOKUP(H1537,Stock_list!A:R,18,FALSE)</f>
        <v>#N/A</v>
      </c>
      <c r="J1537" s="139" t="e">
        <f>VLOOKUP(H1537,Stock_list!A:S,17,FALSE)</f>
        <v>#N/A</v>
      </c>
      <c r="K1537" s="51" t="e">
        <f>VLOOKUP(H1537,Stock_list!A:T,16,FALSE)</f>
        <v>#N/A</v>
      </c>
      <c r="L1537" s="4">
        <v>43864</v>
      </c>
      <c r="M1537" s="132">
        <v>1</v>
      </c>
      <c r="P1537" s="4" t="e">
        <f>VLOOKUP(H1537,Stock_list!A:Y,25,FALSE)</f>
        <v>#N/A</v>
      </c>
      <c r="Q1537" s="143"/>
      <c r="S1537" s="123" t="s">
        <v>521</v>
      </c>
      <c r="T1537" s="144" t="s">
        <v>642</v>
      </c>
      <c r="U1537" s="145" t="e">
        <f>VLOOKUP(H1537,Stock_list!A:N,14,FALSE)</f>
        <v>#N/A</v>
      </c>
    </row>
    <row r="1538" spans="1:21" ht="16.5" customHeight="1">
      <c r="A1538" s="159" t="s">
        <v>261</v>
      </c>
      <c r="B1538" s="114" t="str">
        <f>VLOOKUP(A1538,'Data pick slip'!B:F,5,FALSE)</f>
        <v>KHJ-MC100-00</v>
      </c>
      <c r="F1538" s="157" t="s">
        <v>379</v>
      </c>
      <c r="H1538" s="138">
        <v>365</v>
      </c>
      <c r="I1538" s="139" t="e">
        <f>VLOOKUP(H1538,Stock_list!A:R,18,FALSE)</f>
        <v>#N/A</v>
      </c>
      <c r="J1538" s="139" t="e">
        <f>VLOOKUP(H1538,Stock_list!A:S,17,FALSE)</f>
        <v>#N/A</v>
      </c>
      <c r="K1538" s="51" t="e">
        <f>VLOOKUP(H1538,Stock_list!A:T,16,FALSE)</f>
        <v>#N/A</v>
      </c>
      <c r="L1538" s="4">
        <v>43650</v>
      </c>
      <c r="M1538" s="132">
        <v>100</v>
      </c>
      <c r="P1538" s="4" t="e">
        <f>VLOOKUP(H1538,Stock_list!A:Y,25,FALSE)</f>
        <v>#N/A</v>
      </c>
      <c r="Q1538" s="143"/>
      <c r="T1538" s="144"/>
      <c r="U1538" s="145" t="e">
        <f>VLOOKUP(H1538,Stock_list!A:N,14,FALSE)</f>
        <v>#N/A</v>
      </c>
    </row>
    <row r="1539" spans="1:21" ht="16.5" customHeight="1">
      <c r="A1539" s="159" t="s">
        <v>264</v>
      </c>
      <c r="B1539" s="114" t="str">
        <f>VLOOKUP(A1539,'Data pick slip'!B:F,5,FALSE)</f>
        <v>KHJ-MC200-00</v>
      </c>
      <c r="F1539" s="157" t="s">
        <v>379</v>
      </c>
      <c r="H1539" s="138">
        <v>365</v>
      </c>
      <c r="I1539" s="139" t="e">
        <f>VLOOKUP(H1539,Stock_list!A:R,18,FALSE)</f>
        <v>#N/A</v>
      </c>
      <c r="J1539" s="139" t="e">
        <f>VLOOKUP(H1539,Stock_list!A:S,17,FALSE)</f>
        <v>#N/A</v>
      </c>
      <c r="K1539" s="51" t="e">
        <f>VLOOKUP(H1539,Stock_list!A:T,16,FALSE)</f>
        <v>#N/A</v>
      </c>
      <c r="L1539" s="4">
        <v>43650</v>
      </c>
      <c r="M1539" s="132">
        <v>30</v>
      </c>
      <c r="P1539" s="4" t="e">
        <f>VLOOKUP(H1539,Stock_list!A:Y,25,FALSE)</f>
        <v>#N/A</v>
      </c>
      <c r="Q1539" s="143"/>
      <c r="T1539" s="144"/>
      <c r="U1539" s="145" t="e">
        <f>VLOOKUP(H1539,Stock_list!A:N,14,FALSE)</f>
        <v>#N/A</v>
      </c>
    </row>
    <row r="1540" spans="1:21" ht="16.5" customHeight="1">
      <c r="A1540" s="159" t="s">
        <v>265</v>
      </c>
      <c r="B1540" s="114" t="str">
        <f>VLOOKUP(A1540,'Data pick slip'!B:F,5,FALSE)</f>
        <v>KHJ-MC400-00</v>
      </c>
      <c r="F1540" s="157" t="s">
        <v>379</v>
      </c>
      <c r="H1540" s="138">
        <v>365</v>
      </c>
      <c r="I1540" s="139" t="e">
        <f>VLOOKUP(H1540,Stock_list!A:R,18,FALSE)</f>
        <v>#N/A</v>
      </c>
      <c r="J1540" s="139" t="e">
        <f>VLOOKUP(H1540,Stock_list!A:S,17,FALSE)</f>
        <v>#N/A</v>
      </c>
      <c r="K1540" s="51" t="e">
        <f>VLOOKUP(H1540,Stock_list!A:T,16,FALSE)</f>
        <v>#N/A</v>
      </c>
      <c r="L1540" s="4">
        <v>43650</v>
      </c>
      <c r="M1540" s="132">
        <v>5</v>
      </c>
      <c r="P1540" s="4" t="e">
        <f>VLOOKUP(H1540,Stock_list!A:Y,25,FALSE)</f>
        <v>#N/A</v>
      </c>
      <c r="Q1540" s="143"/>
      <c r="T1540" s="144"/>
      <c r="U1540" s="145" t="e">
        <f>VLOOKUP(H1540,Stock_list!A:N,14,FALSE)</f>
        <v>#N/A</v>
      </c>
    </row>
    <row r="1541" spans="1:21" ht="16.5" customHeight="1">
      <c r="A1541" s="159" t="s">
        <v>261</v>
      </c>
      <c r="B1541" s="114" t="str">
        <f>VLOOKUP(A1541,'Data pick slip'!B:F,5,FALSE)</f>
        <v>KHJ-MC100-00</v>
      </c>
      <c r="F1541" s="157" t="s">
        <v>379</v>
      </c>
      <c r="H1541" s="138">
        <v>371</v>
      </c>
      <c r="I1541" s="139" t="e">
        <f>VLOOKUP(H1541,Stock_list!A:R,18,FALSE)</f>
        <v>#N/A</v>
      </c>
      <c r="J1541" s="139" t="e">
        <f>VLOOKUP(H1541,Stock_list!A:S,17,FALSE)</f>
        <v>#N/A</v>
      </c>
      <c r="K1541" s="51" t="e">
        <f>VLOOKUP(H1541,Stock_list!A:T,16,FALSE)</f>
        <v>#N/A</v>
      </c>
      <c r="L1541" s="4">
        <v>43668</v>
      </c>
      <c r="M1541" s="132">
        <v>90</v>
      </c>
      <c r="P1541" s="4" t="e">
        <f>VLOOKUP(H1541,Stock_list!A:Y,25,FALSE)</f>
        <v>#N/A</v>
      </c>
      <c r="Q1541" s="143"/>
      <c r="T1541" s="144"/>
      <c r="U1541" s="145" t="e">
        <f>VLOOKUP(H1541,Stock_list!A:N,14,FALSE)</f>
        <v>#N/A</v>
      </c>
    </row>
    <row r="1542" spans="1:21" ht="16.5" customHeight="1">
      <c r="A1542" s="159" t="s">
        <v>264</v>
      </c>
      <c r="B1542" s="114" t="str">
        <f>VLOOKUP(A1542,'Data pick slip'!B:F,5,FALSE)</f>
        <v>KHJ-MC200-00</v>
      </c>
      <c r="F1542" s="157" t="s">
        <v>379</v>
      </c>
      <c r="H1542" s="138">
        <v>371</v>
      </c>
      <c r="I1542" s="139" t="e">
        <f>VLOOKUP(H1542,Stock_list!A:R,18,FALSE)</f>
        <v>#N/A</v>
      </c>
      <c r="J1542" s="139" t="e">
        <f>VLOOKUP(H1542,Stock_list!A:S,17,FALSE)</f>
        <v>#N/A</v>
      </c>
      <c r="K1542" s="51" t="e">
        <f>VLOOKUP(H1542,Stock_list!A:T,16,FALSE)</f>
        <v>#N/A</v>
      </c>
      <c r="L1542" s="4">
        <v>43668</v>
      </c>
      <c r="M1542" s="132">
        <v>25</v>
      </c>
      <c r="P1542" s="4" t="e">
        <f>VLOOKUP(H1542,Stock_list!A:Y,25,FALSE)</f>
        <v>#N/A</v>
      </c>
      <c r="Q1542" s="143"/>
      <c r="T1542" s="144"/>
      <c r="U1542" s="145" t="e">
        <f>VLOOKUP(H1542,Stock_list!A:N,14,FALSE)</f>
        <v>#N/A</v>
      </c>
    </row>
    <row r="1543" spans="1:21" ht="16.5" customHeight="1">
      <c r="A1543" s="159" t="s">
        <v>264</v>
      </c>
      <c r="B1543" s="114" t="str">
        <f>VLOOKUP(A1543,'Data pick slip'!B:F,5,FALSE)</f>
        <v>KHJ-MC200-00</v>
      </c>
      <c r="F1543" s="157" t="s">
        <v>290</v>
      </c>
      <c r="H1543" s="138">
        <v>371</v>
      </c>
      <c r="I1543" s="139" t="e">
        <f>VLOOKUP(H1543,Stock_list!A:R,18,FALSE)</f>
        <v>#N/A</v>
      </c>
      <c r="J1543" s="139" t="e">
        <f>VLOOKUP(H1543,Stock_list!A:S,17,FALSE)</f>
        <v>#N/A</v>
      </c>
      <c r="K1543" s="51" t="e">
        <f>VLOOKUP(H1543,Stock_list!A:T,16,FALSE)</f>
        <v>#N/A</v>
      </c>
      <c r="L1543" s="4">
        <v>43668</v>
      </c>
      <c r="M1543" s="132">
        <v>10</v>
      </c>
      <c r="P1543" s="4" t="e">
        <f>VLOOKUP(H1543,Stock_list!A:Y,25,FALSE)</f>
        <v>#N/A</v>
      </c>
      <c r="Q1543" s="143"/>
      <c r="S1543" s="123" t="s">
        <v>521</v>
      </c>
      <c r="T1543" s="205" t="s">
        <v>596</v>
      </c>
      <c r="U1543" s="145" t="e">
        <f>VLOOKUP(H1543,Stock_list!A:N,14,FALSE)</f>
        <v>#N/A</v>
      </c>
    </row>
    <row r="1544" spans="1:21" ht="16.5" customHeight="1">
      <c r="A1544" s="159" t="s">
        <v>265</v>
      </c>
      <c r="B1544" s="114" t="str">
        <f>VLOOKUP(A1544,'Data pick slip'!B:F,5,FALSE)</f>
        <v>KHJ-MC400-00</v>
      </c>
      <c r="F1544" s="157" t="s">
        <v>379</v>
      </c>
      <c r="H1544" s="138">
        <v>371</v>
      </c>
      <c r="I1544" s="139" t="e">
        <f>VLOOKUP(H1544,Stock_list!A:R,18,FALSE)</f>
        <v>#N/A</v>
      </c>
      <c r="J1544" s="139" t="e">
        <f>VLOOKUP(H1544,Stock_list!A:S,17,FALSE)</f>
        <v>#N/A</v>
      </c>
      <c r="K1544" s="51" t="e">
        <f>VLOOKUP(H1544,Stock_list!A:T,16,FALSE)</f>
        <v>#N/A</v>
      </c>
      <c r="L1544" s="4">
        <v>43668</v>
      </c>
      <c r="M1544" s="132">
        <v>15</v>
      </c>
      <c r="P1544" s="4" t="e">
        <f>VLOOKUP(H1544,Stock_list!A:Y,25,FALSE)</f>
        <v>#N/A</v>
      </c>
      <c r="Q1544" s="143"/>
      <c r="T1544" s="144"/>
      <c r="U1544" s="145" t="e">
        <f>VLOOKUP(H1544,Stock_list!A:N,14,FALSE)</f>
        <v>#N/A</v>
      </c>
    </row>
    <row r="1545" spans="1:21" ht="16.5" customHeight="1">
      <c r="A1545" s="159" t="s">
        <v>266</v>
      </c>
      <c r="B1545" s="114" t="str">
        <f>VLOOKUP(A1545,'Data pick slip'!B:F,5,FALSE)</f>
        <v>KHJ-MC500-00</v>
      </c>
      <c r="F1545" s="157" t="s">
        <v>290</v>
      </c>
      <c r="H1545" s="138">
        <v>371</v>
      </c>
      <c r="I1545" s="139" t="e">
        <f>VLOOKUP(H1545,Stock_list!A:R,18,FALSE)</f>
        <v>#N/A</v>
      </c>
      <c r="J1545" s="139" t="e">
        <f>VLOOKUP(H1545,Stock_list!A:S,17,FALSE)</f>
        <v>#N/A</v>
      </c>
      <c r="K1545" s="51" t="e">
        <f>VLOOKUP(H1545,Stock_list!A:T,16,FALSE)</f>
        <v>#N/A</v>
      </c>
      <c r="L1545" s="4">
        <v>43668</v>
      </c>
      <c r="M1545" s="132">
        <v>1</v>
      </c>
      <c r="P1545" s="4" t="e">
        <f>VLOOKUP(H1545,Stock_list!A:Y,25,FALSE)</f>
        <v>#N/A</v>
      </c>
      <c r="Q1545" s="143"/>
      <c r="S1545" s="123" t="s">
        <v>521</v>
      </c>
      <c r="T1545" s="205" t="s">
        <v>596</v>
      </c>
      <c r="U1545" s="145" t="e">
        <f>VLOOKUP(H1545,Stock_list!A:N,14,FALSE)</f>
        <v>#N/A</v>
      </c>
    </row>
    <row r="1546" spans="1:21" ht="16.5" customHeight="1">
      <c r="A1546" s="159" t="s">
        <v>267</v>
      </c>
      <c r="B1546" s="114" t="str">
        <f>VLOOKUP(A1546,'Data pick slip'!B:F,5,FALSE)</f>
        <v>KHJ-MC600-00</v>
      </c>
      <c r="F1546" s="157" t="s">
        <v>290</v>
      </c>
      <c r="H1546" s="138">
        <v>371</v>
      </c>
      <c r="I1546" s="139" t="e">
        <f>VLOOKUP(H1546,Stock_list!A:R,18,FALSE)</f>
        <v>#N/A</v>
      </c>
      <c r="J1546" s="139" t="e">
        <f>VLOOKUP(H1546,Stock_list!A:S,17,FALSE)</f>
        <v>#N/A</v>
      </c>
      <c r="K1546" s="51" t="e">
        <f>VLOOKUP(H1546,Stock_list!A:T,16,FALSE)</f>
        <v>#N/A</v>
      </c>
      <c r="L1546" s="4">
        <v>43668</v>
      </c>
      <c r="M1546" s="132">
        <v>1</v>
      </c>
      <c r="P1546" s="4" t="e">
        <f>VLOOKUP(H1546,Stock_list!A:Y,25,FALSE)</f>
        <v>#N/A</v>
      </c>
      <c r="Q1546" s="143"/>
      <c r="S1546" s="123" t="s">
        <v>521</v>
      </c>
      <c r="T1546" s="205" t="s">
        <v>596</v>
      </c>
      <c r="U1546" s="145" t="e">
        <f>VLOOKUP(H1546,Stock_list!A:N,14,FALSE)</f>
        <v>#N/A</v>
      </c>
    </row>
    <row r="1547" spans="1:21" ht="16.5" customHeight="1">
      <c r="A1547" s="159" t="s">
        <v>261</v>
      </c>
      <c r="B1547" s="114" t="str">
        <f>VLOOKUP(A1547,'Data pick slip'!B:F,5,FALSE)</f>
        <v>KHJ-MC100-00</v>
      </c>
      <c r="F1547" s="157" t="s">
        <v>379</v>
      </c>
      <c r="H1547" s="138">
        <v>376</v>
      </c>
      <c r="I1547" s="139" t="e">
        <f>VLOOKUP(H1547,Stock_list!A:R,18,FALSE)</f>
        <v>#N/A</v>
      </c>
      <c r="J1547" s="139" t="e">
        <f>VLOOKUP(H1547,Stock_list!A:S,17,FALSE)</f>
        <v>#N/A</v>
      </c>
      <c r="K1547" s="51" t="e">
        <f>VLOOKUP(H1547,Stock_list!A:T,16,FALSE)</f>
        <v>#N/A</v>
      </c>
      <c r="L1547" s="4">
        <v>43669</v>
      </c>
      <c r="M1547" s="140">
        <v>40</v>
      </c>
      <c r="P1547" s="4" t="e">
        <f>VLOOKUP(H1547,Stock_list!A:Y,25,FALSE)</f>
        <v>#N/A</v>
      </c>
      <c r="Q1547" s="143"/>
      <c r="S1547" s="123" t="s">
        <v>521</v>
      </c>
      <c r="T1547" s="144"/>
      <c r="U1547" s="145" t="e">
        <f>VLOOKUP(H1547,Stock_list!A:N,14,FALSE)</f>
        <v>#N/A</v>
      </c>
    </row>
    <row r="1548" spans="1:21" ht="16.5" customHeight="1">
      <c r="A1548" s="159" t="s">
        <v>261</v>
      </c>
      <c r="B1548" s="114" t="str">
        <f>VLOOKUP(A1548,'Data pick slip'!B:F,5,FALSE)</f>
        <v>KHJ-MC100-00</v>
      </c>
      <c r="F1548" s="157" t="s">
        <v>290</v>
      </c>
      <c r="I1548" s="139" t="s">
        <v>371</v>
      </c>
      <c r="J1548" s="139" t="s">
        <v>643</v>
      </c>
      <c r="K1548" s="51" t="s">
        <v>520</v>
      </c>
      <c r="L1548" s="4">
        <v>43649</v>
      </c>
      <c r="M1548" s="140">
        <v>3</v>
      </c>
      <c r="P1548" s="4" t="s">
        <v>214</v>
      </c>
      <c r="Q1548" s="143"/>
      <c r="S1548" s="123" t="s">
        <v>521</v>
      </c>
      <c r="T1548" s="144" t="s">
        <v>644</v>
      </c>
      <c r="U1548" s="145" t="e">
        <f>VLOOKUP(H1548,Stock_list!A:N,14,FALSE)</f>
        <v>#N/A</v>
      </c>
    </row>
    <row r="1549" spans="1:21" ht="16.5" customHeight="1">
      <c r="A1549" s="159" t="s">
        <v>261</v>
      </c>
      <c r="B1549" s="114" t="str">
        <f>VLOOKUP(A1549,'Data pick slip'!B:F,5,FALSE)</f>
        <v>KHJ-MC100-00</v>
      </c>
      <c r="F1549" s="157" t="s">
        <v>290</v>
      </c>
      <c r="I1549" s="139" t="s">
        <v>617</v>
      </c>
      <c r="J1549" s="139" t="s">
        <v>645</v>
      </c>
      <c r="K1549" s="51" t="s">
        <v>225</v>
      </c>
      <c r="L1549" s="4">
        <v>43656</v>
      </c>
      <c r="M1549" s="140">
        <v>10</v>
      </c>
      <c r="P1549" s="4" t="s">
        <v>214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264</v>
      </c>
      <c r="B1550" s="114" t="str">
        <f>VLOOKUP(A1550,'Data pick slip'!B:F,5,FALSE)</f>
        <v>KHJ-MC200-00</v>
      </c>
      <c r="F1550" s="157" t="s">
        <v>290</v>
      </c>
      <c r="I1550" s="139" t="s">
        <v>371</v>
      </c>
      <c r="J1550" s="139" t="s">
        <v>646</v>
      </c>
      <c r="K1550" s="51" t="s">
        <v>520</v>
      </c>
      <c r="L1550" s="4">
        <v>43655</v>
      </c>
      <c r="M1550" s="140">
        <v>5</v>
      </c>
      <c r="P1550" s="4" t="s">
        <v>214</v>
      </c>
      <c r="Q1550" s="143"/>
      <c r="S1550" s="123" t="s">
        <v>521</v>
      </c>
      <c r="T1550" s="144" t="s">
        <v>647</v>
      </c>
      <c r="U1550" s="145" t="e">
        <f>VLOOKUP(H1550,Stock_list!A:N,14,FALSE)</f>
        <v>#N/A</v>
      </c>
    </row>
    <row r="1551" spans="1:21" ht="16.5" customHeight="1">
      <c r="A1551" s="159" t="s">
        <v>261</v>
      </c>
      <c r="B1551" s="114" t="str">
        <f>VLOOKUP(A1551,'Data pick slip'!B:F,5,FALSE)</f>
        <v>KHJ-MC100-00</v>
      </c>
      <c r="F1551" s="157" t="s">
        <v>290</v>
      </c>
      <c r="H1551" s="138">
        <v>375</v>
      </c>
      <c r="I1551" s="139" t="e">
        <f>VLOOKUP(H1551,Stock_list!A:R,18,FALSE)</f>
        <v>#N/A</v>
      </c>
      <c r="J1551" s="139" t="e">
        <f>VLOOKUP(H1551,Stock_list!A:S,17,FALSE)</f>
        <v>#N/A</v>
      </c>
      <c r="K1551" s="51" t="e">
        <f>VLOOKUP(H1551,Stock_list!A:T,16,FALSE)</f>
        <v>#N/A</v>
      </c>
      <c r="L1551" s="4">
        <v>43661</v>
      </c>
      <c r="M1551" s="132">
        <v>44</v>
      </c>
      <c r="P1551" s="4" t="e">
        <f>VLOOKUP(H1551,Stock_list!A:Y,25,FALSE)</f>
        <v>#N/A</v>
      </c>
      <c r="Q1551" s="143"/>
      <c r="T1551" s="144"/>
      <c r="U1551" s="145" t="e">
        <f>VLOOKUP(H1551,Stock_list!A:N,14,FALSE)</f>
        <v>#N/A</v>
      </c>
    </row>
    <row r="1552" spans="1:21" ht="16.5" customHeight="1">
      <c r="A1552" s="159" t="s">
        <v>264</v>
      </c>
      <c r="B1552" s="114" t="str">
        <f>VLOOKUP(A1552,'Data pick slip'!B:F,5,FALSE)</f>
        <v>KHJ-MC200-00</v>
      </c>
      <c r="F1552" s="157" t="s">
        <v>290</v>
      </c>
      <c r="H1552" s="138">
        <v>375</v>
      </c>
      <c r="I1552" s="139" t="e">
        <f>VLOOKUP(H1552,Stock_list!A:R,18,FALSE)</f>
        <v>#N/A</v>
      </c>
      <c r="J1552" s="139" t="e">
        <f>VLOOKUP(H1552,Stock_list!A:S,17,FALSE)</f>
        <v>#N/A</v>
      </c>
      <c r="K1552" s="51" t="e">
        <f>VLOOKUP(H1552,Stock_list!A:T,16,FALSE)</f>
        <v>#N/A</v>
      </c>
      <c r="L1552" s="4">
        <v>43661</v>
      </c>
      <c r="M1552" s="132">
        <v>10</v>
      </c>
      <c r="P1552" s="4" t="e">
        <f>VLOOKUP(H1552,Stock_list!A:Y,25,FALSE)</f>
        <v>#N/A</v>
      </c>
      <c r="Q1552" s="143"/>
      <c r="T1552" s="144"/>
      <c r="U1552" s="145" t="e">
        <f>VLOOKUP(H1552,Stock_list!A:N,14,FALSE)</f>
        <v>#N/A</v>
      </c>
    </row>
    <row r="1553" spans="1:21" ht="16.5" customHeight="1">
      <c r="A1553" s="159" t="s">
        <v>265</v>
      </c>
      <c r="B1553" s="114" t="str">
        <f>VLOOKUP(A1553,'Data pick slip'!B:F,5,FALSE)</f>
        <v>KHJ-MC400-00</v>
      </c>
      <c r="F1553" s="157" t="s">
        <v>290</v>
      </c>
      <c r="H1553" s="138">
        <v>375</v>
      </c>
      <c r="I1553" s="139" t="e">
        <f>VLOOKUP(H1553,Stock_list!A:R,18,FALSE)</f>
        <v>#N/A</v>
      </c>
      <c r="J1553" s="139" t="e">
        <f>VLOOKUP(H1553,Stock_list!A:S,17,FALSE)</f>
        <v>#N/A</v>
      </c>
      <c r="K1553" s="51" t="e">
        <f>VLOOKUP(H1553,Stock_list!A:T,16,FALSE)</f>
        <v>#N/A</v>
      </c>
      <c r="L1553" s="4">
        <v>43661</v>
      </c>
      <c r="M1553" s="132">
        <v>2</v>
      </c>
      <c r="P1553" s="4" t="e">
        <f>VLOOKUP(H1553,Stock_list!A:Y,25,FALSE)</f>
        <v>#N/A</v>
      </c>
      <c r="Q1553" s="143"/>
      <c r="T1553" s="144"/>
      <c r="U1553" s="145" t="e">
        <f>VLOOKUP(H1553,Stock_list!A:N,14,FALSE)</f>
        <v>#N/A</v>
      </c>
    </row>
    <row r="1554" spans="1:21" ht="16.5" customHeight="1">
      <c r="A1554" s="159" t="s">
        <v>266</v>
      </c>
      <c r="B1554" s="114" t="str">
        <f>VLOOKUP(A1554,'Data pick slip'!B:F,5,FALSE)</f>
        <v>KHJ-MC500-00</v>
      </c>
      <c r="F1554" s="157" t="s">
        <v>290</v>
      </c>
      <c r="H1554" s="138">
        <v>375</v>
      </c>
      <c r="I1554" s="139" t="e">
        <f>VLOOKUP(H1554,Stock_list!A:R,18,FALSE)</f>
        <v>#N/A</v>
      </c>
      <c r="J1554" s="139" t="e">
        <f>VLOOKUP(H1554,Stock_list!A:S,17,FALSE)</f>
        <v>#N/A</v>
      </c>
      <c r="K1554" s="51" t="e">
        <f>VLOOKUP(H1554,Stock_list!A:T,16,FALSE)</f>
        <v>#N/A</v>
      </c>
      <c r="L1554" s="4">
        <v>43661</v>
      </c>
      <c r="M1554" s="132">
        <v>2</v>
      </c>
      <c r="P1554" s="4" t="e">
        <f>VLOOKUP(H1554,Stock_list!A:Y,25,FALSE)</f>
        <v>#N/A</v>
      </c>
      <c r="Q1554" s="143"/>
      <c r="T1554" s="144"/>
      <c r="U1554" s="145" t="e">
        <f>VLOOKUP(H1554,Stock_list!A:N,14,FALSE)</f>
        <v>#N/A</v>
      </c>
    </row>
    <row r="1555" spans="1:21" ht="16.5" customHeight="1">
      <c r="A1555" s="159" t="s">
        <v>264</v>
      </c>
      <c r="B1555" s="114" t="str">
        <f>VLOOKUP(A1555,'Data pick slip'!B:F,5,FALSE)</f>
        <v>KHJ-MC200-00</v>
      </c>
      <c r="F1555" s="157" t="s">
        <v>379</v>
      </c>
      <c r="I1555" s="139" t="s">
        <v>533</v>
      </c>
      <c r="J1555" s="139" t="s">
        <v>648</v>
      </c>
      <c r="K1555" s="51" t="s">
        <v>225</v>
      </c>
      <c r="L1555" s="4">
        <v>43662</v>
      </c>
      <c r="M1555" s="140">
        <v>30</v>
      </c>
      <c r="P1555" s="4" t="s">
        <v>214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264</v>
      </c>
      <c r="B1556" s="114" t="str">
        <f>VLOOKUP(A1556,'Data pick slip'!B:F,5,FALSE)</f>
        <v>KHJ-MC200-00</v>
      </c>
      <c r="F1556" s="157" t="s">
        <v>290</v>
      </c>
      <c r="I1556" s="139" t="s">
        <v>371</v>
      </c>
      <c r="J1556" s="139" t="s">
        <v>649</v>
      </c>
      <c r="K1556" s="51" t="s">
        <v>520</v>
      </c>
      <c r="L1556" s="4">
        <v>43658</v>
      </c>
      <c r="M1556" s="140">
        <v>2</v>
      </c>
      <c r="P1556" s="4" t="s">
        <v>214</v>
      </c>
      <c r="Q1556" s="143"/>
      <c r="S1556" s="123" t="s">
        <v>521</v>
      </c>
      <c r="T1556" s="144" t="s">
        <v>650</v>
      </c>
      <c r="U1556" s="145" t="e">
        <f>VLOOKUP(H1556,Stock_list!A:N,14,FALSE)</f>
        <v>#N/A</v>
      </c>
    </row>
    <row r="1557" spans="1:21" ht="16.5" customHeight="1">
      <c r="A1557" s="159" t="s">
        <v>264</v>
      </c>
      <c r="B1557" s="114" t="str">
        <f>VLOOKUP(A1557,'Data pick slip'!B:F,5,FALSE)</f>
        <v>KHJ-MC200-00</v>
      </c>
      <c r="F1557" s="157" t="s">
        <v>290</v>
      </c>
      <c r="I1557" s="139" t="s">
        <v>611</v>
      </c>
      <c r="J1557" s="139" t="s">
        <v>651</v>
      </c>
      <c r="K1557" s="51" t="s">
        <v>225</v>
      </c>
      <c r="L1557" s="4">
        <v>43663</v>
      </c>
      <c r="M1557" s="140">
        <v>15</v>
      </c>
      <c r="P1557" s="4" t="s">
        <v>214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264</v>
      </c>
      <c r="B1558" s="114" t="str">
        <f>VLOOKUP(A1558,'Data pick slip'!B:F,5,FALSE)</f>
        <v>KHJ-MC200-00</v>
      </c>
      <c r="F1558" s="157" t="s">
        <v>290</v>
      </c>
      <c r="I1558" s="139" t="s">
        <v>633</v>
      </c>
      <c r="J1558" s="139" t="s">
        <v>652</v>
      </c>
      <c r="K1558" s="51" t="s">
        <v>225</v>
      </c>
      <c r="L1558" s="4">
        <v>43664</v>
      </c>
      <c r="M1558" s="140">
        <v>10</v>
      </c>
      <c r="P1558" s="4" t="s">
        <v>214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266</v>
      </c>
      <c r="B1559" s="114" t="str">
        <f>VLOOKUP(A1559,'Data pick slip'!B:F,5,FALSE)</f>
        <v>KHJ-MC500-00</v>
      </c>
      <c r="F1559" s="157" t="s">
        <v>290</v>
      </c>
      <c r="I1559" s="139" t="s">
        <v>653</v>
      </c>
      <c r="J1559" s="139" t="s">
        <v>654</v>
      </c>
      <c r="K1559" s="51" t="s">
        <v>520</v>
      </c>
      <c r="L1559" s="4">
        <v>43663</v>
      </c>
      <c r="M1559" s="140">
        <v>2</v>
      </c>
      <c r="P1559" s="4" t="s">
        <v>214</v>
      </c>
      <c r="Q1559" s="143"/>
      <c r="S1559" s="123" t="s">
        <v>521</v>
      </c>
      <c r="T1559" s="205" t="s">
        <v>655</v>
      </c>
      <c r="U1559" s="145" t="e">
        <f>VLOOKUP(H1559,Stock_list!A:N,14,FALSE)</f>
        <v>#N/A</v>
      </c>
    </row>
    <row r="1560" spans="1:21" ht="16.5" customHeight="1">
      <c r="A1560" s="159" t="s">
        <v>267</v>
      </c>
      <c r="B1560" s="114" t="str">
        <f>VLOOKUP(A1560,'Data pick slip'!B:F,5,FALSE)</f>
        <v>KHJ-MC600-00</v>
      </c>
      <c r="F1560" s="157" t="s">
        <v>290</v>
      </c>
      <c r="I1560" s="139" t="s">
        <v>653</v>
      </c>
      <c r="J1560" s="139" t="s">
        <v>654</v>
      </c>
      <c r="K1560" s="51" t="s">
        <v>520</v>
      </c>
      <c r="L1560" s="4">
        <v>43663</v>
      </c>
      <c r="M1560" s="140">
        <v>1</v>
      </c>
      <c r="P1560" s="4" t="s">
        <v>214</v>
      </c>
      <c r="Q1560" s="143"/>
      <c r="S1560" s="123" t="s">
        <v>521</v>
      </c>
      <c r="T1560" s="205" t="s">
        <v>655</v>
      </c>
      <c r="U1560" s="145" t="e">
        <f>VLOOKUP(H1560,Stock_list!A:N,14,FALSE)</f>
        <v>#N/A</v>
      </c>
    </row>
    <row r="1561" spans="1:21" ht="16.5" customHeight="1">
      <c r="A1561" s="159" t="s">
        <v>264</v>
      </c>
      <c r="B1561" s="114" t="str">
        <f>VLOOKUP(A1561,'Data pick slip'!B:F,5,FALSE)</f>
        <v>KHJ-MC200-00</v>
      </c>
      <c r="F1561" s="157" t="s">
        <v>379</v>
      </c>
      <c r="I1561" s="139" t="s">
        <v>533</v>
      </c>
      <c r="J1561" s="139" t="s">
        <v>656</v>
      </c>
      <c r="K1561" s="51" t="s">
        <v>225</v>
      </c>
      <c r="L1561" s="4">
        <v>43662</v>
      </c>
      <c r="M1561" s="140">
        <v>10</v>
      </c>
      <c r="P1561" s="4" t="s">
        <v>214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265</v>
      </c>
      <c r="B1562" s="114" t="str">
        <f>VLOOKUP(A1562,'Data pick slip'!B:F,5,FALSE)</f>
        <v>KHJ-MC400-00</v>
      </c>
      <c r="F1562" s="157" t="s">
        <v>290</v>
      </c>
      <c r="I1562" s="139" t="s">
        <v>657</v>
      </c>
      <c r="J1562" s="139" t="s">
        <v>658</v>
      </c>
      <c r="K1562" s="51" t="s">
        <v>225</v>
      </c>
      <c r="L1562" s="4">
        <v>43661</v>
      </c>
      <c r="M1562" s="140">
        <v>1</v>
      </c>
      <c r="P1562" s="4" t="s">
        <v>214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264</v>
      </c>
      <c r="B1563" s="114" t="str">
        <f>VLOOKUP(A1563,'Data pick slip'!B:F,5,FALSE)</f>
        <v>KHJ-MC200-00</v>
      </c>
      <c r="F1563" s="157" t="s">
        <v>290</v>
      </c>
      <c r="I1563" s="139" t="s">
        <v>611</v>
      </c>
      <c r="J1563" s="139" t="s">
        <v>659</v>
      </c>
      <c r="K1563" s="51" t="s">
        <v>225</v>
      </c>
      <c r="L1563" s="4">
        <v>43662</v>
      </c>
      <c r="M1563" s="140">
        <v>3</v>
      </c>
      <c r="P1563" s="4" t="s">
        <v>214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265</v>
      </c>
      <c r="B1564" s="114" t="str">
        <f>VLOOKUP(A1564,'Data pick slip'!B:F,5,FALSE)</f>
        <v>KHJ-MC400-00</v>
      </c>
      <c r="F1564" s="157" t="s">
        <v>290</v>
      </c>
      <c r="I1564" s="139" t="s">
        <v>611</v>
      </c>
      <c r="J1564" s="139" t="s">
        <v>659</v>
      </c>
      <c r="K1564" s="51" t="s">
        <v>225</v>
      </c>
      <c r="L1564" s="4">
        <v>43662</v>
      </c>
      <c r="M1564" s="140">
        <v>2</v>
      </c>
      <c r="P1564" s="4" t="s">
        <v>214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266</v>
      </c>
      <c r="B1565" s="114" t="str">
        <f>VLOOKUP(A1565,'Data pick slip'!B:F,5,FALSE)</f>
        <v>KHJ-MC500-00</v>
      </c>
      <c r="F1565" s="157" t="s">
        <v>290</v>
      </c>
      <c r="I1565" s="139" t="s">
        <v>611</v>
      </c>
      <c r="J1565" s="139" t="s">
        <v>659</v>
      </c>
      <c r="K1565" s="51" t="s">
        <v>225</v>
      </c>
      <c r="L1565" s="4">
        <v>43662</v>
      </c>
      <c r="M1565" s="140">
        <v>3</v>
      </c>
      <c r="P1565" s="4" t="s">
        <v>214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261</v>
      </c>
      <c r="B1566" s="114" t="str">
        <f>VLOOKUP(A1566,'Data pick slip'!B:F,5,FALSE)</f>
        <v>KHJ-MC100-00</v>
      </c>
      <c r="F1566" s="157" t="s">
        <v>290</v>
      </c>
      <c r="I1566" s="139" t="s">
        <v>611</v>
      </c>
      <c r="J1566" s="139" t="s">
        <v>660</v>
      </c>
      <c r="K1566" s="51" t="s">
        <v>225</v>
      </c>
      <c r="L1566" s="4">
        <v>43662</v>
      </c>
      <c r="M1566" s="140">
        <v>15</v>
      </c>
      <c r="P1566" s="4" t="s">
        <v>214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261</v>
      </c>
      <c r="B1567" s="114" t="str">
        <f>VLOOKUP(A1567,'Data pick slip'!B:F,5,FALSE)</f>
        <v>KHJ-MC100-00</v>
      </c>
      <c r="F1567" s="157" t="s">
        <v>379</v>
      </c>
      <c r="I1567" s="139" t="s">
        <v>533</v>
      </c>
      <c r="J1567" s="139" t="s">
        <v>661</v>
      </c>
      <c r="K1567" s="51" t="s">
        <v>225</v>
      </c>
      <c r="L1567" s="4">
        <v>43665</v>
      </c>
      <c r="M1567" s="140">
        <v>50</v>
      </c>
      <c r="P1567" s="4" t="s">
        <v>214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572</v>
      </c>
      <c r="B1568" s="114"/>
      <c r="F1568" s="157" t="s">
        <v>290</v>
      </c>
      <c r="H1568" s="138">
        <v>291</v>
      </c>
      <c r="I1568" s="139" t="e">
        <f>VLOOKUP(H1568,Stock_list!A:R,18,FALSE)</f>
        <v>#N/A</v>
      </c>
      <c r="J1568" s="139" t="e">
        <f>VLOOKUP(H1568,Stock_list!A:S,17,FALSE)</f>
        <v>#N/A</v>
      </c>
      <c r="K1568" s="51" t="e">
        <f>VLOOKUP(H1568,Stock_list!A:T,16,FALSE)</f>
        <v>#N/A</v>
      </c>
      <c r="L1568" s="4">
        <v>43689</v>
      </c>
      <c r="M1568" s="140">
        <v>1</v>
      </c>
      <c r="P1568" s="4" t="s">
        <v>214</v>
      </c>
      <c r="Q1568" s="143"/>
      <c r="S1568" s="123" t="s">
        <v>521</v>
      </c>
      <c r="T1568" s="205" t="s">
        <v>589</v>
      </c>
      <c r="U1568" s="145" t="e">
        <f>VLOOKUP(H1568,Stock_list!A:N,14,FALSE)</f>
        <v>#N/A</v>
      </c>
    </row>
    <row r="1569" spans="1:21" ht="16.5" customHeight="1">
      <c r="A1569" s="159" t="s">
        <v>267</v>
      </c>
      <c r="B1569" s="114" t="str">
        <f>VLOOKUP(A1569,'Data pick slip'!B:F,5,FALSE)</f>
        <v>KHJ-MC600-00</v>
      </c>
      <c r="F1569" s="157" t="s">
        <v>290</v>
      </c>
      <c r="I1569" s="139" t="s">
        <v>611</v>
      </c>
      <c r="J1569" s="139" t="s">
        <v>662</v>
      </c>
      <c r="K1569" s="51" t="s">
        <v>225</v>
      </c>
      <c r="L1569" s="4">
        <v>43675</v>
      </c>
      <c r="M1569" s="140">
        <v>1</v>
      </c>
      <c r="P1569" s="4" t="s">
        <v>214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265</v>
      </c>
      <c r="B1570" s="114" t="str">
        <f>VLOOKUP(A1570,'Data pick slip'!B:F,5,FALSE)</f>
        <v>KHJ-MC400-00</v>
      </c>
      <c r="F1570" s="157" t="s">
        <v>290</v>
      </c>
      <c r="I1570" s="139" t="s">
        <v>371</v>
      </c>
      <c r="J1570" s="139" t="s">
        <v>663</v>
      </c>
      <c r="K1570" s="51" t="s">
        <v>520</v>
      </c>
      <c r="L1570" s="4">
        <v>43672</v>
      </c>
      <c r="M1570" s="140">
        <v>2</v>
      </c>
      <c r="P1570" s="4" t="s">
        <v>214</v>
      </c>
      <c r="Q1570" s="143"/>
      <c r="S1570" s="123" t="s">
        <v>521</v>
      </c>
      <c r="T1570" s="144" t="s">
        <v>664</v>
      </c>
      <c r="U1570" s="145" t="e">
        <f>VLOOKUP(H1570,Stock_list!A:N,14,FALSE)</f>
        <v>#N/A</v>
      </c>
    </row>
    <row r="1571" spans="1:21" ht="16.5" customHeight="1">
      <c r="A1571" s="159" t="s">
        <v>268</v>
      </c>
      <c r="B1571" s="114" t="str">
        <f>VLOOKUP(A1571,'Data pick slip'!B:F,5,FALSE)</f>
        <v>KHJ-MC700-00</v>
      </c>
      <c r="F1571" s="157" t="s">
        <v>290</v>
      </c>
      <c r="I1571" s="139" t="s">
        <v>633</v>
      </c>
      <c r="J1571" s="139" t="s">
        <v>665</v>
      </c>
      <c r="K1571" s="51" t="s">
        <v>225</v>
      </c>
      <c r="L1571" s="4">
        <v>43679</v>
      </c>
      <c r="M1571" s="140">
        <v>1</v>
      </c>
      <c r="P1571" s="4" t="s">
        <v>214</v>
      </c>
      <c r="Q1571" s="143"/>
      <c r="T1571" s="144" t="s">
        <v>604</v>
      </c>
      <c r="U1571" s="145" t="e">
        <f>VLOOKUP(H1571,Stock_list!A:N,14,FALSE)</f>
        <v>#N/A</v>
      </c>
    </row>
    <row r="1572" spans="1:21" ht="16.5" customHeight="1">
      <c r="A1572" s="159" t="s">
        <v>264</v>
      </c>
      <c r="B1572" s="114" t="str">
        <f>VLOOKUP(A1572,'Data pick slip'!B:F,5,FALSE)</f>
        <v>KHJ-MC200-00</v>
      </c>
      <c r="F1572" s="157" t="s">
        <v>379</v>
      </c>
      <c r="I1572" s="139" t="s">
        <v>533</v>
      </c>
      <c r="J1572" s="139" t="s">
        <v>666</v>
      </c>
      <c r="K1572" s="51" t="s">
        <v>225</v>
      </c>
      <c r="L1572" s="4">
        <v>43684</v>
      </c>
      <c r="M1572" s="140">
        <v>27</v>
      </c>
      <c r="P1572" s="4" t="s">
        <v>214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266</v>
      </c>
      <c r="B1573" s="114" t="str">
        <f>VLOOKUP(A1573,'Data pick slip'!B:F,5,FALSE)</f>
        <v>KHJ-MC500-00</v>
      </c>
      <c r="F1573" s="157" t="s">
        <v>379</v>
      </c>
      <c r="I1573" s="139" t="s">
        <v>533</v>
      </c>
      <c r="J1573" s="139" t="s">
        <v>666</v>
      </c>
      <c r="K1573" s="51" t="s">
        <v>225</v>
      </c>
      <c r="L1573" s="4">
        <v>43684</v>
      </c>
      <c r="M1573" s="140">
        <v>9</v>
      </c>
      <c r="P1573" s="4" t="s">
        <v>214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267</v>
      </c>
      <c r="B1574" s="114" t="str">
        <f>VLOOKUP(A1574,'Data pick slip'!B:F,5,FALSE)</f>
        <v>KHJ-MC600-00</v>
      </c>
      <c r="F1574" s="157" t="s">
        <v>379</v>
      </c>
      <c r="I1574" s="139" t="s">
        <v>533</v>
      </c>
      <c r="J1574" s="139" t="s">
        <v>666</v>
      </c>
      <c r="K1574" s="51" t="s">
        <v>225</v>
      </c>
      <c r="L1574" s="4">
        <v>43684</v>
      </c>
      <c r="M1574" s="140">
        <v>13</v>
      </c>
      <c r="P1574" s="4" t="s">
        <v>214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272</v>
      </c>
      <c r="B1575" s="114" t="str">
        <f>VLOOKUP(A1575,'Data pick slip'!B:F,5,FALSE)</f>
        <v>KLJ-MC100-00</v>
      </c>
      <c r="F1575" s="157" t="s">
        <v>290</v>
      </c>
      <c r="H1575" s="138">
        <v>560</v>
      </c>
      <c r="I1575" s="139" t="e">
        <f>VLOOKUP(H1575,Stock_list!A:R,18,FALSE)</f>
        <v>#N/A</v>
      </c>
      <c r="J1575" s="139" t="e">
        <f>VLOOKUP(H1575,Stock_list!A:S,17,FALSE)</f>
        <v>#N/A</v>
      </c>
      <c r="K1575" s="51" t="e">
        <f>VLOOKUP(H1575,Stock_list!A:T,16,FALSE)</f>
        <v>#N/A</v>
      </c>
      <c r="L1575" s="4">
        <v>43843</v>
      </c>
      <c r="M1575" s="132">
        <v>3</v>
      </c>
      <c r="P1575" s="4" t="e">
        <f>VLOOKUP(H1575,Stock_list!A:Y,25,FALSE)</f>
        <v>#N/A</v>
      </c>
      <c r="Q1575" s="143"/>
      <c r="T1575" s="144"/>
      <c r="U1575" s="145" t="e">
        <f>VLOOKUP(H1575,Stock_list!A:N,14,FALSE)</f>
        <v>#N/A</v>
      </c>
    </row>
    <row r="1576" spans="1:21" ht="16.5" customHeight="1">
      <c r="A1576" s="159" t="s">
        <v>273</v>
      </c>
      <c r="B1576" s="114" t="str">
        <f>VLOOKUP(A1576,'Data pick slip'!B:F,5,FALSE)</f>
        <v>KLJ-MC200-00</v>
      </c>
      <c r="F1576" s="157" t="s">
        <v>290</v>
      </c>
      <c r="H1576" s="138">
        <v>560</v>
      </c>
      <c r="I1576" s="139" t="e">
        <f>VLOOKUP(H1576,Stock_list!A:R,18,FALSE)</f>
        <v>#N/A</v>
      </c>
      <c r="J1576" s="139" t="e">
        <f>VLOOKUP(H1576,Stock_list!A:S,17,FALSE)</f>
        <v>#N/A</v>
      </c>
      <c r="K1576" s="51" t="e">
        <f>VLOOKUP(H1576,Stock_list!A:T,16,FALSE)</f>
        <v>#N/A</v>
      </c>
      <c r="L1576" s="4">
        <v>43843</v>
      </c>
      <c r="M1576" s="132">
        <v>14</v>
      </c>
      <c r="P1576" s="4" t="e">
        <f>VLOOKUP(H1576,Stock_list!A:Y,25,FALSE)</f>
        <v>#N/A</v>
      </c>
      <c r="T1576" s="144"/>
      <c r="U1576" s="145" t="e">
        <f>VLOOKUP(H1576,Stock_list!A:N,14,FALSE)</f>
        <v>#N/A</v>
      </c>
    </row>
    <row r="1577" spans="1:21" ht="16.5" customHeight="1">
      <c r="A1577" s="159" t="s">
        <v>261</v>
      </c>
      <c r="B1577" s="114" t="str">
        <f>VLOOKUP(A1577,'Data pick slip'!B:F,5,FALSE)</f>
        <v>KHJ-MC100-00</v>
      </c>
      <c r="F1577" s="157" t="s">
        <v>290</v>
      </c>
      <c r="H1577" s="138">
        <v>381</v>
      </c>
      <c r="I1577" s="139" t="e">
        <f>VLOOKUP(H1577,Stock_list!A:R,18,FALSE)</f>
        <v>#N/A</v>
      </c>
      <c r="J1577" s="139" t="e">
        <f>VLOOKUP(H1577,Stock_list!A:S,17,FALSE)</f>
        <v>#N/A</v>
      </c>
      <c r="K1577" s="51" t="e">
        <f>VLOOKUP(H1577,Stock_list!A:T,16,FALSE)</f>
        <v>#N/A</v>
      </c>
      <c r="L1577" s="4">
        <v>43690</v>
      </c>
      <c r="M1577" s="132">
        <v>20</v>
      </c>
      <c r="P1577" s="4" t="e">
        <f>VLOOKUP(H1577,Stock_list!A:Y,25,FALSE)</f>
        <v>#N/A</v>
      </c>
      <c r="Q1577" s="143"/>
      <c r="T1577" s="144"/>
      <c r="U1577" s="145" t="e">
        <f>VLOOKUP(H1577,Stock_list!A:N,14,FALSE)</f>
        <v>#N/A</v>
      </c>
    </row>
    <row r="1578" spans="1:21" ht="16.5" customHeight="1">
      <c r="A1578" s="159" t="s">
        <v>265</v>
      </c>
      <c r="B1578" s="114" t="str">
        <f>VLOOKUP(A1578,'Data pick slip'!B:F,5,FALSE)</f>
        <v>KHJ-MC400-00</v>
      </c>
      <c r="F1578" s="157" t="s">
        <v>290</v>
      </c>
      <c r="H1578" s="138">
        <v>381</v>
      </c>
      <c r="I1578" s="139" t="e">
        <f>VLOOKUP(H1578,Stock_list!A:R,18,FALSE)</f>
        <v>#N/A</v>
      </c>
      <c r="J1578" s="139" t="e">
        <f>VLOOKUP(H1578,Stock_list!A:S,17,FALSE)</f>
        <v>#N/A</v>
      </c>
      <c r="K1578" s="51" t="e">
        <f>VLOOKUP(H1578,Stock_list!A:T,16,FALSE)</f>
        <v>#N/A</v>
      </c>
      <c r="L1578" s="4">
        <v>43690</v>
      </c>
      <c r="M1578" s="132">
        <v>2</v>
      </c>
      <c r="P1578" s="4" t="e">
        <f>VLOOKUP(H1578,Stock_list!A:Y,25,FALSE)</f>
        <v>#N/A</v>
      </c>
      <c r="Q1578" s="143"/>
      <c r="T1578" s="144"/>
      <c r="U1578" s="145" t="e">
        <f>VLOOKUP(H1578,Stock_list!A:N,14,FALSE)</f>
        <v>#N/A</v>
      </c>
    </row>
    <row r="1579" spans="1:21" ht="16.5" customHeight="1">
      <c r="A1579" s="159" t="s">
        <v>264</v>
      </c>
      <c r="B1579" s="114" t="str">
        <f>VLOOKUP(A1579,'Data pick slip'!B:F,5,FALSE)</f>
        <v>KHJ-MC200-00</v>
      </c>
      <c r="F1579" s="157" t="s">
        <v>290</v>
      </c>
      <c r="H1579" s="138">
        <v>381</v>
      </c>
      <c r="I1579" s="139" t="e">
        <f>VLOOKUP(H1579,Stock_list!A:R,18,FALSE)</f>
        <v>#N/A</v>
      </c>
      <c r="J1579" s="139" t="e">
        <f>VLOOKUP(H1579,Stock_list!A:S,17,FALSE)</f>
        <v>#N/A</v>
      </c>
      <c r="K1579" s="51" t="e">
        <f>VLOOKUP(H1579,Stock_list!A:T,16,FALSE)</f>
        <v>#N/A</v>
      </c>
      <c r="L1579" s="4">
        <v>43690</v>
      </c>
      <c r="M1579" s="132">
        <v>4</v>
      </c>
      <c r="P1579" s="4" t="e">
        <f>VLOOKUP(H1579,Stock_list!A:Y,25,FALSE)</f>
        <v>#N/A</v>
      </c>
      <c r="Q1579" s="143"/>
      <c r="T1579" s="144"/>
      <c r="U1579" s="145" t="e">
        <f>VLOOKUP(H1579,Stock_list!A:N,14,FALSE)</f>
        <v>#N/A</v>
      </c>
    </row>
    <row r="1580" spans="1:21" ht="16.5" customHeight="1">
      <c r="A1580" s="159" t="s">
        <v>261</v>
      </c>
      <c r="B1580" s="114" t="str">
        <f>VLOOKUP(A1580,'Data pick slip'!B:F,5,FALSE)</f>
        <v>KHJ-MC100-00</v>
      </c>
      <c r="F1580" s="157" t="s">
        <v>379</v>
      </c>
      <c r="I1580" s="139" t="s">
        <v>533</v>
      </c>
      <c r="J1580" s="139" t="s">
        <v>667</v>
      </c>
      <c r="K1580" s="51" t="s">
        <v>225</v>
      </c>
      <c r="L1580" s="4">
        <v>43689</v>
      </c>
      <c r="M1580" s="140">
        <v>50</v>
      </c>
      <c r="P1580" s="4" t="s">
        <v>214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264</v>
      </c>
      <c r="B1581" s="114" t="str">
        <f>VLOOKUP(A1581,'Data pick slip'!B:F,5,FALSE)</f>
        <v>KHJ-MC200-00</v>
      </c>
      <c r="F1581" s="157" t="s">
        <v>379</v>
      </c>
      <c r="I1581" s="139" t="s">
        <v>533</v>
      </c>
      <c r="J1581" s="139" t="s">
        <v>667</v>
      </c>
      <c r="K1581" s="51" t="s">
        <v>225</v>
      </c>
      <c r="L1581" s="4">
        <v>43689</v>
      </c>
      <c r="M1581" s="140">
        <v>20</v>
      </c>
      <c r="P1581" s="4" t="s">
        <v>214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265</v>
      </c>
      <c r="B1582" s="114" t="str">
        <f>VLOOKUP(A1582,'Data pick slip'!B:F,5,FALSE)</f>
        <v>KHJ-MC400-00</v>
      </c>
      <c r="F1582" s="157" t="s">
        <v>379</v>
      </c>
      <c r="I1582" s="139" t="s">
        <v>533</v>
      </c>
      <c r="J1582" s="139" t="s">
        <v>667</v>
      </c>
      <c r="K1582" s="51" t="s">
        <v>225</v>
      </c>
      <c r="L1582" s="4">
        <v>43689</v>
      </c>
      <c r="M1582" s="140">
        <v>5</v>
      </c>
      <c r="P1582" s="4" t="s">
        <v>214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266</v>
      </c>
      <c r="B1583" s="114" t="str">
        <f>VLOOKUP(A1583,'Data pick slip'!B:F,5,FALSE)</f>
        <v>KHJ-MC500-00</v>
      </c>
      <c r="F1583" s="157" t="s">
        <v>379</v>
      </c>
      <c r="I1583" s="139" t="s">
        <v>533</v>
      </c>
      <c r="J1583" s="139" t="s">
        <v>667</v>
      </c>
      <c r="K1583" s="51" t="s">
        <v>225</v>
      </c>
      <c r="L1583" s="4">
        <v>43689</v>
      </c>
      <c r="M1583" s="140">
        <v>10</v>
      </c>
      <c r="P1583" s="4" t="s">
        <v>214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268</v>
      </c>
      <c r="B1584" s="114" t="str">
        <f>VLOOKUP(A1584,'Data pick slip'!B:F,5,FALSE)</f>
        <v>KHJ-MC700-00</v>
      </c>
      <c r="F1584" s="157" t="s">
        <v>379</v>
      </c>
      <c r="I1584" s="139" t="s">
        <v>533</v>
      </c>
      <c r="J1584" s="139" t="s">
        <v>667</v>
      </c>
      <c r="K1584" s="51" t="s">
        <v>225</v>
      </c>
      <c r="L1584" s="4">
        <v>43689</v>
      </c>
      <c r="M1584" s="140">
        <v>3</v>
      </c>
      <c r="P1584" s="4" t="s">
        <v>214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273</v>
      </c>
      <c r="B1585" s="114" t="str">
        <f>VLOOKUP(A1585,'Data pick slip'!B:F,5,FALSE)</f>
        <v>KLJ-MC200-00</v>
      </c>
      <c r="F1585" s="157" t="s">
        <v>290</v>
      </c>
      <c r="H1585" s="138">
        <v>382</v>
      </c>
      <c r="I1585" s="139" t="e">
        <f>VLOOKUP(H1585,Stock_list!A:R,18,FALSE)</f>
        <v>#N/A</v>
      </c>
      <c r="J1585" s="139" t="e">
        <f>VLOOKUP(H1585,Stock_list!A:S,17,FALSE)</f>
        <v>#N/A</v>
      </c>
      <c r="K1585" s="51" t="e">
        <f>VLOOKUP(H1585,Stock_list!A:T,16,FALSE)</f>
        <v>#N/A</v>
      </c>
      <c r="L1585" s="4">
        <v>43707</v>
      </c>
      <c r="M1585" s="132">
        <v>47</v>
      </c>
      <c r="P1585" s="4" t="e">
        <f>VLOOKUP(H1585,Stock_list!A:Y,25,FALSE)</f>
        <v>#N/A</v>
      </c>
      <c r="T1585" s="144"/>
      <c r="U1585" s="145" t="e">
        <f>VLOOKUP(H1585,Stock_list!A:N,14,FALSE)</f>
        <v>#N/A</v>
      </c>
    </row>
    <row r="1586" spans="1:21" ht="16.5" customHeight="1">
      <c r="A1586" s="159" t="s">
        <v>265</v>
      </c>
      <c r="B1586" s="114" t="str">
        <f>VLOOKUP(A1586,'Data pick slip'!B:F,5,FALSE)</f>
        <v>KHJ-MC400-00</v>
      </c>
      <c r="F1586" s="157" t="s">
        <v>290</v>
      </c>
      <c r="H1586" s="138">
        <v>382</v>
      </c>
      <c r="I1586" s="139" t="e">
        <f>VLOOKUP(H1586,Stock_list!A:R,18,FALSE)</f>
        <v>#N/A</v>
      </c>
      <c r="J1586" s="139" t="e">
        <f>VLOOKUP(H1586,Stock_list!A:S,17,FALSE)</f>
        <v>#N/A</v>
      </c>
      <c r="K1586" s="51" t="e">
        <f>VLOOKUP(H1586,Stock_list!A:T,16,FALSE)</f>
        <v>#N/A</v>
      </c>
      <c r="L1586" s="4">
        <v>43707</v>
      </c>
      <c r="M1586" s="132">
        <v>9</v>
      </c>
      <c r="P1586" s="4" t="e">
        <f>VLOOKUP(H1586,Stock_list!A:Y,25,FALSE)</f>
        <v>#N/A</v>
      </c>
      <c r="Q1586" s="143"/>
      <c r="T1586" s="144"/>
      <c r="U1586" s="145" t="e">
        <f>VLOOKUP(H1586,Stock_list!A:N,14,FALSE)</f>
        <v>#N/A</v>
      </c>
    </row>
    <row r="1587" spans="1:21" ht="16.5" customHeight="1">
      <c r="A1587" s="159" t="s">
        <v>266</v>
      </c>
      <c r="B1587" s="114" t="str">
        <f>VLOOKUP(A1587,'Data pick slip'!B:F,5,FALSE)</f>
        <v>KHJ-MC500-00</v>
      </c>
      <c r="F1587" s="157" t="s">
        <v>290</v>
      </c>
      <c r="H1587" s="138">
        <v>382</v>
      </c>
      <c r="I1587" s="139" t="e">
        <f>VLOOKUP(H1587,Stock_list!A:R,18,FALSE)</f>
        <v>#N/A</v>
      </c>
      <c r="J1587" s="139" t="e">
        <f>VLOOKUP(H1587,Stock_list!A:S,17,FALSE)</f>
        <v>#N/A</v>
      </c>
      <c r="K1587" s="51" t="e">
        <f>VLOOKUP(H1587,Stock_list!A:T,16,FALSE)</f>
        <v>#N/A</v>
      </c>
      <c r="L1587" s="4">
        <v>43707</v>
      </c>
      <c r="M1587" s="132">
        <v>3</v>
      </c>
      <c r="P1587" s="4" t="e">
        <f>VLOOKUP(H1587,Stock_list!A:Y,25,FALSE)</f>
        <v>#N/A</v>
      </c>
      <c r="Q1587" s="143"/>
      <c r="T1587" s="144"/>
      <c r="U1587" s="145" t="e">
        <f>VLOOKUP(H1587,Stock_list!A:N,14,FALSE)</f>
        <v>#N/A</v>
      </c>
    </row>
    <row r="1588" spans="1:21" ht="16.5" customHeight="1">
      <c r="A1588" s="159" t="s">
        <v>267</v>
      </c>
      <c r="B1588" s="114" t="str">
        <f>VLOOKUP(A1588,'Data pick slip'!B:F,5,FALSE)</f>
        <v>KHJ-MC600-00</v>
      </c>
      <c r="F1588" s="157" t="s">
        <v>290</v>
      </c>
      <c r="H1588" s="138">
        <v>382</v>
      </c>
      <c r="I1588" s="139" t="e">
        <f>VLOOKUP(H1588,Stock_list!A:R,18,FALSE)</f>
        <v>#N/A</v>
      </c>
      <c r="J1588" s="139" t="e">
        <f>VLOOKUP(H1588,Stock_list!A:S,17,FALSE)</f>
        <v>#N/A</v>
      </c>
      <c r="K1588" s="51" t="e">
        <f>VLOOKUP(H1588,Stock_list!A:T,16,FALSE)</f>
        <v>#N/A</v>
      </c>
      <c r="L1588" s="4">
        <v>43707</v>
      </c>
      <c r="M1588" s="132">
        <v>2</v>
      </c>
      <c r="P1588" s="4" t="e">
        <f>VLOOKUP(H1588,Stock_list!A:Y,25,FALSE)</f>
        <v>#N/A</v>
      </c>
      <c r="Q1588" s="143"/>
      <c r="T1588" s="144"/>
      <c r="U1588" s="145" t="e">
        <f>VLOOKUP(H1588,Stock_list!A:N,14,FALSE)</f>
        <v>#N/A</v>
      </c>
    </row>
    <row r="1589" spans="1:21" ht="16.5" customHeight="1">
      <c r="A1589" s="159" t="s">
        <v>261</v>
      </c>
      <c r="B1589" s="114" t="str">
        <f>VLOOKUP(A1589,'Data pick slip'!B:F,5,FALSE)</f>
        <v>KHJ-MC100-00</v>
      </c>
      <c r="F1589" s="157" t="s">
        <v>290</v>
      </c>
      <c r="H1589" s="138">
        <v>391</v>
      </c>
      <c r="I1589" s="139" t="e">
        <f>VLOOKUP(H1589,Stock_list!A:R,18,FALSE)</f>
        <v>#N/A</v>
      </c>
      <c r="J1589" s="139" t="e">
        <f>VLOOKUP(H1589,Stock_list!A:S,17,FALSE)</f>
        <v>#N/A</v>
      </c>
      <c r="K1589" s="51" t="e">
        <f>VLOOKUP(H1589,Stock_list!A:T,16,FALSE)</f>
        <v>#N/A</v>
      </c>
      <c r="L1589" s="4">
        <v>43759</v>
      </c>
      <c r="M1589" s="132">
        <v>165</v>
      </c>
      <c r="P1589" s="4" t="e">
        <f>VLOOKUP(H1589,Stock_list!A:Y,25,FALSE)</f>
        <v>#N/A</v>
      </c>
      <c r="Q1589" s="143"/>
      <c r="T1589" s="144"/>
      <c r="U1589" s="145" t="e">
        <f>VLOOKUP(H1589,Stock_list!A:N,14,FALSE)</f>
        <v>#N/A</v>
      </c>
    </row>
    <row r="1590" spans="1:21" ht="16.5" customHeight="1">
      <c r="A1590" s="159" t="s">
        <v>264</v>
      </c>
      <c r="B1590" s="114" t="str">
        <f>VLOOKUP(A1590,'Data pick slip'!B:F,5,FALSE)</f>
        <v>KHJ-MC200-00</v>
      </c>
      <c r="F1590" s="157" t="s">
        <v>290</v>
      </c>
      <c r="H1590" s="138">
        <v>391</v>
      </c>
      <c r="I1590" s="139" t="e">
        <f>VLOOKUP(H1590,Stock_list!A:R,18,FALSE)</f>
        <v>#N/A</v>
      </c>
      <c r="J1590" s="139" t="e">
        <f>VLOOKUP(H1590,Stock_list!A:S,17,FALSE)</f>
        <v>#N/A</v>
      </c>
      <c r="K1590" s="51" t="e">
        <f>VLOOKUP(H1590,Stock_list!A:T,16,FALSE)</f>
        <v>#N/A</v>
      </c>
      <c r="L1590" s="4">
        <v>43759</v>
      </c>
      <c r="M1590" s="132">
        <v>35</v>
      </c>
      <c r="P1590" s="4" t="e">
        <f>VLOOKUP(H1590,Stock_list!A:Y,25,FALSE)</f>
        <v>#N/A</v>
      </c>
      <c r="Q1590" s="143"/>
      <c r="T1590" s="144"/>
      <c r="U1590" s="145" t="e">
        <f>VLOOKUP(H1590,Stock_list!A:N,14,FALSE)</f>
        <v>#N/A</v>
      </c>
    </row>
    <row r="1591" spans="1:21" ht="16.5" customHeight="1">
      <c r="A1591" s="159" t="s">
        <v>265</v>
      </c>
      <c r="B1591" s="114" t="str">
        <f>VLOOKUP(A1591,'Data pick slip'!B:F,5,FALSE)</f>
        <v>KHJ-MC400-00</v>
      </c>
      <c r="F1591" s="157" t="s">
        <v>290</v>
      </c>
      <c r="H1591" s="138">
        <v>391</v>
      </c>
      <c r="I1591" s="139" t="e">
        <f>VLOOKUP(H1591,Stock_list!A:R,18,FALSE)</f>
        <v>#N/A</v>
      </c>
      <c r="J1591" s="139" t="e">
        <f>VLOOKUP(H1591,Stock_list!A:S,17,FALSE)</f>
        <v>#N/A</v>
      </c>
      <c r="K1591" s="51" t="e">
        <f>VLOOKUP(H1591,Stock_list!A:T,16,FALSE)</f>
        <v>#N/A</v>
      </c>
      <c r="L1591" s="4">
        <v>43759</v>
      </c>
      <c r="M1591" s="132">
        <v>20</v>
      </c>
      <c r="P1591" s="4" t="e">
        <f>VLOOKUP(H1591,Stock_list!A:Y,25,FALSE)</f>
        <v>#N/A</v>
      </c>
      <c r="Q1591" s="143"/>
      <c r="T1591" s="144"/>
      <c r="U1591" s="145" t="e">
        <f>VLOOKUP(H1591,Stock_list!A:N,14,FALSE)</f>
        <v>#N/A</v>
      </c>
    </row>
    <row r="1592" spans="1:21" ht="16.5" customHeight="1">
      <c r="A1592" s="159" t="s">
        <v>266</v>
      </c>
      <c r="B1592" s="114" t="str">
        <f>VLOOKUP(A1592,'Data pick slip'!B:F,5,FALSE)</f>
        <v>KHJ-MC500-00</v>
      </c>
      <c r="F1592" s="157" t="s">
        <v>290</v>
      </c>
      <c r="H1592" s="138">
        <v>391</v>
      </c>
      <c r="I1592" s="139" t="e">
        <f>VLOOKUP(H1592,Stock_list!A:R,18,FALSE)</f>
        <v>#N/A</v>
      </c>
      <c r="J1592" s="139" t="e">
        <f>VLOOKUP(H1592,Stock_list!A:S,17,FALSE)</f>
        <v>#N/A</v>
      </c>
      <c r="K1592" s="51" t="e">
        <f>VLOOKUP(H1592,Stock_list!A:T,16,FALSE)</f>
        <v>#N/A</v>
      </c>
      <c r="L1592" s="4">
        <v>43759</v>
      </c>
      <c r="M1592" s="132">
        <v>10</v>
      </c>
      <c r="P1592" s="4" t="e">
        <f>VLOOKUP(H1592,Stock_list!A:Y,25,FALSE)</f>
        <v>#N/A</v>
      </c>
      <c r="Q1592" s="143"/>
      <c r="T1592" s="144"/>
      <c r="U1592" s="145" t="e">
        <f>VLOOKUP(H1592,Stock_list!A:N,14,FALSE)</f>
        <v>#N/A</v>
      </c>
    </row>
    <row r="1593" spans="1:21" ht="16.5" customHeight="1">
      <c r="A1593" s="159" t="s">
        <v>264</v>
      </c>
      <c r="B1593" s="114" t="str">
        <f>VLOOKUP(A1593,'Data pick slip'!B:F,5,FALSE)</f>
        <v>KHJ-MC200-00</v>
      </c>
      <c r="F1593" s="157" t="s">
        <v>290</v>
      </c>
      <c r="I1593" s="139" t="s">
        <v>371</v>
      </c>
      <c r="J1593" s="139" t="s">
        <v>668</v>
      </c>
      <c r="K1593" s="51" t="s">
        <v>520</v>
      </c>
      <c r="L1593" s="4">
        <v>43699</v>
      </c>
      <c r="M1593" s="140">
        <v>20</v>
      </c>
      <c r="P1593" s="4" t="s">
        <v>214</v>
      </c>
      <c r="Q1593" s="143"/>
      <c r="S1593" s="123" t="s">
        <v>521</v>
      </c>
      <c r="T1593" s="205" t="s">
        <v>581</v>
      </c>
      <c r="U1593" s="145" t="e">
        <f>VLOOKUP(H1593,Stock_list!A:N,14,FALSE)</f>
        <v>#N/A</v>
      </c>
    </row>
    <row r="1594" spans="1:21" ht="16.5" customHeight="1">
      <c r="A1594" s="159" t="s">
        <v>264</v>
      </c>
      <c r="B1594" s="114" t="str">
        <f>VLOOKUP(A1594,'Data pick slip'!B:F,5,FALSE)</f>
        <v>KHJ-MC200-00</v>
      </c>
      <c r="F1594" s="157" t="s">
        <v>290</v>
      </c>
      <c r="I1594" s="139" t="s">
        <v>611</v>
      </c>
      <c r="J1594" s="139" t="s">
        <v>669</v>
      </c>
      <c r="K1594" s="51" t="s">
        <v>225</v>
      </c>
      <c r="L1594" s="4">
        <v>43713</v>
      </c>
      <c r="M1594" s="140">
        <v>36</v>
      </c>
      <c r="P1594" s="4" t="s">
        <v>214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265</v>
      </c>
      <c r="B1595" s="114" t="str">
        <f>VLOOKUP(A1595,'Data pick slip'!B:F,5,FALSE)</f>
        <v>KHJ-MC400-00</v>
      </c>
      <c r="F1595" s="157" t="s">
        <v>290</v>
      </c>
      <c r="I1595" s="139" t="s">
        <v>371</v>
      </c>
      <c r="J1595" s="139" t="s">
        <v>670</v>
      </c>
      <c r="K1595" s="51" t="s">
        <v>520</v>
      </c>
      <c r="L1595" s="4">
        <v>43680</v>
      </c>
      <c r="M1595" s="140">
        <v>1</v>
      </c>
      <c r="P1595" s="4" t="s">
        <v>214</v>
      </c>
      <c r="Q1595" s="143"/>
      <c r="S1595" s="123" t="s">
        <v>521</v>
      </c>
      <c r="T1595" s="144" t="s">
        <v>671</v>
      </c>
      <c r="U1595" s="145" t="e">
        <f>VLOOKUP(H1595,Stock_list!A:N,14,FALSE)</f>
        <v>#N/A</v>
      </c>
    </row>
    <row r="1596" spans="1:21" ht="16.5" customHeight="1">
      <c r="A1596" s="159" t="s">
        <v>275</v>
      </c>
      <c r="B1596" s="114" t="str">
        <f>VLOOKUP(A1596,'Data pick slip'!B:F,5,FALSE)</f>
        <v>KLJ-MC500-00</v>
      </c>
      <c r="F1596" s="157" t="s">
        <v>290</v>
      </c>
      <c r="I1596" s="139" t="s">
        <v>611</v>
      </c>
      <c r="J1596" s="139" t="s">
        <v>672</v>
      </c>
      <c r="K1596" s="51" t="s">
        <v>225</v>
      </c>
      <c r="L1596" s="4">
        <v>43686</v>
      </c>
      <c r="M1596" s="140">
        <v>1</v>
      </c>
      <c r="P1596" s="4" t="s">
        <v>214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261</v>
      </c>
      <c r="B1597" s="114" t="str">
        <f>VLOOKUP(A1597,'Data pick slip'!B:F,5,FALSE)</f>
        <v>KHJ-MC100-00</v>
      </c>
      <c r="F1597" s="157" t="s">
        <v>290</v>
      </c>
      <c r="I1597" s="139" t="s">
        <v>657</v>
      </c>
      <c r="J1597" s="139" t="s">
        <v>673</v>
      </c>
      <c r="K1597" s="51" t="s">
        <v>225</v>
      </c>
      <c r="L1597" s="4">
        <v>43686</v>
      </c>
      <c r="M1597" s="140">
        <v>100</v>
      </c>
      <c r="P1597" s="4" t="s">
        <v>214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261</v>
      </c>
      <c r="B1598" s="114" t="str">
        <f>VLOOKUP(A1598,'Data pick slip'!B:F,5,FALSE)</f>
        <v>KHJ-MC100-00</v>
      </c>
      <c r="F1598" s="157" t="s">
        <v>290</v>
      </c>
      <c r="H1598" s="138">
        <v>395</v>
      </c>
      <c r="I1598" s="139" t="e">
        <f>VLOOKUP(H1598,Stock_list!A:R,18,FALSE)</f>
        <v>#N/A</v>
      </c>
      <c r="J1598" s="139" t="e">
        <f>VLOOKUP(H1598,Stock_list!A:S,17,FALSE)</f>
        <v>#N/A</v>
      </c>
      <c r="K1598" s="51" t="e">
        <f>VLOOKUP(H1598,Stock_list!A:T,16,FALSE)</f>
        <v>#N/A</v>
      </c>
      <c r="L1598" s="4">
        <v>43714</v>
      </c>
      <c r="M1598" s="132">
        <v>270</v>
      </c>
      <c r="N1598" s="149"/>
      <c r="P1598" s="4" t="e">
        <f>VLOOKUP(H1598,Stock_list!A:Y,25,FALSE)</f>
        <v>#N/A</v>
      </c>
      <c r="Q1598" s="143"/>
      <c r="T1598" s="144"/>
      <c r="U1598" s="145" t="e">
        <f>VLOOKUP(H1598,Stock_list!A:N,14,FALSE)</f>
        <v>#N/A</v>
      </c>
    </row>
    <row r="1599" spans="1:21" ht="16.5" customHeight="1">
      <c r="A1599" s="159" t="s">
        <v>264</v>
      </c>
      <c r="B1599" s="114" t="str">
        <f>VLOOKUP(A1599,'Data pick slip'!B:F,5,FALSE)</f>
        <v>KHJ-MC200-00</v>
      </c>
      <c r="F1599" s="157" t="s">
        <v>290</v>
      </c>
      <c r="H1599" s="138">
        <v>395</v>
      </c>
      <c r="I1599" s="139" t="e">
        <f>VLOOKUP(H1599,Stock_list!A:R,18,FALSE)</f>
        <v>#N/A</v>
      </c>
      <c r="J1599" s="139" t="e">
        <f>VLOOKUP(H1599,Stock_list!A:S,17,FALSE)</f>
        <v>#N/A</v>
      </c>
      <c r="K1599" s="51" t="e">
        <f>VLOOKUP(H1599,Stock_list!A:T,16,FALSE)</f>
        <v>#N/A</v>
      </c>
      <c r="L1599" s="4">
        <v>43714</v>
      </c>
      <c r="M1599" s="132">
        <v>40</v>
      </c>
      <c r="N1599" s="149"/>
      <c r="P1599" s="4" t="e">
        <f>VLOOKUP(H1599,Stock_list!A:Y,25,FALSE)</f>
        <v>#N/A</v>
      </c>
      <c r="Q1599" s="143"/>
      <c r="T1599" s="144"/>
      <c r="U1599" s="145" t="e">
        <f>VLOOKUP(H1599,Stock_list!A:N,14,FALSE)</f>
        <v>#N/A</v>
      </c>
    </row>
    <row r="1600" spans="1:21" ht="16.5" customHeight="1">
      <c r="A1600" s="159" t="s">
        <v>265</v>
      </c>
      <c r="B1600" s="114" t="str">
        <f>VLOOKUP(A1600,'Data pick slip'!B:F,5,FALSE)</f>
        <v>KHJ-MC400-00</v>
      </c>
      <c r="F1600" s="157" t="s">
        <v>290</v>
      </c>
      <c r="H1600" s="138">
        <v>395</v>
      </c>
      <c r="I1600" s="139" t="e">
        <f>VLOOKUP(H1600,Stock_list!A:R,18,FALSE)</f>
        <v>#N/A</v>
      </c>
      <c r="J1600" s="139" t="e">
        <f>VLOOKUP(H1600,Stock_list!A:S,17,FALSE)</f>
        <v>#N/A</v>
      </c>
      <c r="K1600" s="51" t="e">
        <f>VLOOKUP(H1600,Stock_list!A:T,16,FALSE)</f>
        <v>#N/A</v>
      </c>
      <c r="L1600" s="4">
        <v>43714</v>
      </c>
      <c r="M1600" s="132">
        <v>13</v>
      </c>
      <c r="N1600" s="149"/>
      <c r="P1600" s="4" t="e">
        <f>VLOOKUP(H1600,Stock_list!A:Y,25,FALSE)</f>
        <v>#N/A</v>
      </c>
      <c r="Q1600" s="143"/>
      <c r="T1600" s="144"/>
      <c r="U1600" s="145" t="e">
        <f>VLOOKUP(H1600,Stock_list!A:N,14,FALSE)</f>
        <v>#N/A</v>
      </c>
    </row>
    <row r="1601" spans="1:21" ht="16.5" customHeight="1">
      <c r="A1601" s="159" t="s">
        <v>266</v>
      </c>
      <c r="B1601" s="114" t="str">
        <f>VLOOKUP(A1601,'Data pick slip'!B:F,5,FALSE)</f>
        <v>KHJ-MC500-00</v>
      </c>
      <c r="F1601" s="157" t="s">
        <v>290</v>
      </c>
      <c r="H1601" s="138">
        <v>395</v>
      </c>
      <c r="I1601" s="139" t="e">
        <f>VLOOKUP(H1601,Stock_list!A:R,18,FALSE)</f>
        <v>#N/A</v>
      </c>
      <c r="J1601" s="139" t="e">
        <f>VLOOKUP(H1601,Stock_list!A:S,17,FALSE)</f>
        <v>#N/A</v>
      </c>
      <c r="K1601" s="51" t="e">
        <f>VLOOKUP(H1601,Stock_list!A:T,16,FALSE)</f>
        <v>#N/A</v>
      </c>
      <c r="L1601" s="4">
        <v>43714</v>
      </c>
      <c r="M1601" s="132">
        <v>4</v>
      </c>
      <c r="N1601" s="149"/>
      <c r="P1601" s="4" t="e">
        <f>VLOOKUP(H1601,Stock_list!A:Y,25,FALSE)</f>
        <v>#N/A</v>
      </c>
      <c r="Q1601" s="143"/>
      <c r="T1601" s="144"/>
      <c r="U1601" s="145" t="e">
        <f>VLOOKUP(H1601,Stock_list!A:N,14,FALSE)</f>
        <v>#N/A</v>
      </c>
    </row>
    <row r="1602" spans="1:21" ht="16.5" customHeight="1">
      <c r="A1602" s="159" t="s">
        <v>264</v>
      </c>
      <c r="B1602" s="114" t="str">
        <f>VLOOKUP(A1602,'Data pick slip'!B:F,5,FALSE)</f>
        <v>KHJ-MC200-00</v>
      </c>
      <c r="F1602" s="157" t="s">
        <v>290</v>
      </c>
      <c r="I1602" s="139" t="s">
        <v>657</v>
      </c>
      <c r="J1602" s="139" t="s">
        <v>674</v>
      </c>
      <c r="K1602" s="51" t="s">
        <v>225</v>
      </c>
      <c r="L1602" s="4">
        <v>43698</v>
      </c>
      <c r="M1602" s="140">
        <v>1</v>
      </c>
      <c r="P1602" s="4" t="s">
        <v>214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261</v>
      </c>
      <c r="B1603" s="114" t="str">
        <f>VLOOKUP(A1603,'Data pick slip'!B:F,5,FALSE)</f>
        <v>KHJ-MC100-00</v>
      </c>
      <c r="F1603" s="157" t="s">
        <v>290</v>
      </c>
      <c r="H1603" s="138">
        <v>407</v>
      </c>
      <c r="I1603" s="139" t="e">
        <f>VLOOKUP(H1603,Stock_list!A:R,18,FALSE)</f>
        <v>#N/A</v>
      </c>
      <c r="J1603" s="139" t="e">
        <f>VLOOKUP(H1603,Stock_list!A:S,17,FALSE)</f>
        <v>#N/A</v>
      </c>
      <c r="K1603" s="51" t="e">
        <f>VLOOKUP(H1603,Stock_list!A:T,16,FALSE)</f>
        <v>#N/A</v>
      </c>
      <c r="L1603" s="4">
        <v>43707</v>
      </c>
      <c r="M1603" s="132">
        <v>5</v>
      </c>
      <c r="P1603" s="4" t="e">
        <f>VLOOKUP(H1603,Stock_list!A:Y,25,FALSE)</f>
        <v>#N/A</v>
      </c>
      <c r="Q1603" s="143"/>
      <c r="T1603" s="144"/>
      <c r="U1603" s="145" t="e">
        <f>VLOOKUP(H1603,Stock_list!A:N,14,FALSE)</f>
        <v>#N/A</v>
      </c>
    </row>
    <row r="1604" spans="1:21" ht="16.5" customHeight="1">
      <c r="A1604" s="159" t="s">
        <v>264</v>
      </c>
      <c r="B1604" s="114" t="str">
        <f>VLOOKUP(A1604,'Data pick slip'!B:F,5,FALSE)</f>
        <v>KHJ-MC200-00</v>
      </c>
      <c r="F1604" s="157" t="s">
        <v>290</v>
      </c>
      <c r="H1604" s="138">
        <v>407</v>
      </c>
      <c r="I1604" s="139" t="e">
        <f>VLOOKUP(H1604,Stock_list!A:R,18,FALSE)</f>
        <v>#N/A</v>
      </c>
      <c r="J1604" s="139" t="e">
        <f>VLOOKUP(H1604,Stock_list!A:S,17,FALSE)</f>
        <v>#N/A</v>
      </c>
      <c r="K1604" s="51" t="e">
        <f>VLOOKUP(H1604,Stock_list!A:T,16,FALSE)</f>
        <v>#N/A</v>
      </c>
      <c r="L1604" s="4">
        <v>43707</v>
      </c>
      <c r="M1604" s="132">
        <v>5</v>
      </c>
      <c r="P1604" s="4" t="e">
        <f>VLOOKUP(H1604,Stock_list!A:Y,25,FALSE)</f>
        <v>#N/A</v>
      </c>
      <c r="Q1604" s="143"/>
      <c r="T1604" s="144"/>
      <c r="U1604" s="145" t="e">
        <f>VLOOKUP(H1604,Stock_list!A:N,14,FALSE)</f>
        <v>#N/A</v>
      </c>
    </row>
    <row r="1605" spans="1:21" ht="16.5" customHeight="1">
      <c r="A1605" s="159" t="s">
        <v>261</v>
      </c>
      <c r="B1605" s="114" t="str">
        <f>VLOOKUP(A1605,'Data pick slip'!B:F,5,FALSE)</f>
        <v>KHJ-MC100-00</v>
      </c>
      <c r="F1605" s="157" t="s">
        <v>290</v>
      </c>
      <c r="H1605" s="138">
        <v>408</v>
      </c>
      <c r="I1605" s="139" t="e">
        <f>VLOOKUP(H1605,Stock_list!A:R,18,FALSE)</f>
        <v>#N/A</v>
      </c>
      <c r="J1605" s="139" t="e">
        <f>VLOOKUP(H1605,Stock_list!A:S,17,FALSE)</f>
        <v>#N/A</v>
      </c>
      <c r="K1605" s="51" t="e">
        <f>VLOOKUP(H1605,Stock_list!A:T,16,FALSE)</f>
        <v>#N/A</v>
      </c>
      <c r="L1605" s="4">
        <v>43714</v>
      </c>
      <c r="M1605" s="132">
        <v>35</v>
      </c>
      <c r="P1605" s="4" t="e">
        <f>VLOOKUP(H1605,Stock_list!A:Y,25,FALSE)</f>
        <v>#N/A</v>
      </c>
      <c r="Q1605" s="143"/>
      <c r="T1605" s="144"/>
      <c r="U1605" s="145" t="e">
        <f>VLOOKUP(H1605,Stock_list!A:N,14,FALSE)</f>
        <v>#N/A</v>
      </c>
    </row>
    <row r="1606" spans="1:21" ht="16.5" customHeight="1">
      <c r="A1606" s="159" t="s">
        <v>264</v>
      </c>
      <c r="B1606" s="114" t="str">
        <f>VLOOKUP(A1606,'Data pick slip'!B:F,5,FALSE)</f>
        <v>KHJ-MC200-00</v>
      </c>
      <c r="F1606" s="157" t="s">
        <v>290</v>
      </c>
      <c r="H1606" s="138">
        <v>408</v>
      </c>
      <c r="I1606" s="139" t="e">
        <f>VLOOKUP(H1606,Stock_list!A:R,18,FALSE)</f>
        <v>#N/A</v>
      </c>
      <c r="J1606" s="139" t="e">
        <f>VLOOKUP(H1606,Stock_list!A:S,17,FALSE)</f>
        <v>#N/A</v>
      </c>
      <c r="K1606" s="51" t="e">
        <f>VLOOKUP(H1606,Stock_list!A:T,16,FALSE)</f>
        <v>#N/A</v>
      </c>
      <c r="L1606" s="4">
        <v>43714</v>
      </c>
      <c r="M1606" s="132">
        <v>5</v>
      </c>
      <c r="P1606" s="4" t="e">
        <f>VLOOKUP(H1606,Stock_list!A:Y,25,FALSE)</f>
        <v>#N/A</v>
      </c>
      <c r="Q1606" s="143"/>
      <c r="T1606" s="144"/>
      <c r="U1606" s="145" t="e">
        <f>VLOOKUP(H1606,Stock_list!A:N,14,FALSE)</f>
        <v>#N/A</v>
      </c>
    </row>
    <row r="1607" spans="1:21" ht="16.5" customHeight="1">
      <c r="A1607" s="159" t="s">
        <v>265</v>
      </c>
      <c r="B1607" s="114" t="str">
        <f>VLOOKUP(A1607,'Data pick slip'!B:F,5,FALSE)</f>
        <v>KHJ-MC400-00</v>
      </c>
      <c r="F1607" s="157" t="s">
        <v>290</v>
      </c>
      <c r="H1607" s="138">
        <v>408</v>
      </c>
      <c r="I1607" s="139" t="e">
        <f>VLOOKUP(H1607,Stock_list!A:R,18,FALSE)</f>
        <v>#N/A</v>
      </c>
      <c r="J1607" s="139" t="e">
        <f>VLOOKUP(H1607,Stock_list!A:S,17,FALSE)</f>
        <v>#N/A</v>
      </c>
      <c r="K1607" s="51" t="e">
        <f>VLOOKUP(H1607,Stock_list!A:T,16,FALSE)</f>
        <v>#N/A</v>
      </c>
      <c r="L1607" s="4">
        <v>43714</v>
      </c>
      <c r="M1607" s="132">
        <v>2</v>
      </c>
      <c r="P1607" s="4" t="e">
        <f>VLOOKUP(H1607,Stock_list!A:Y,25,FALSE)</f>
        <v>#N/A</v>
      </c>
      <c r="Q1607" s="143"/>
      <c r="T1607" s="144"/>
      <c r="U1607" s="145" t="e">
        <f>VLOOKUP(H1607,Stock_list!A:N,14,FALSE)</f>
        <v>#N/A</v>
      </c>
    </row>
    <row r="1608" spans="1:21" ht="16.5" customHeight="1">
      <c r="A1608" s="159" t="s">
        <v>272</v>
      </c>
      <c r="B1608" s="114" t="str">
        <f>VLOOKUP(A1608,'Data pick slip'!B:F,5,FALSE)</f>
        <v>KLJ-MC100-00</v>
      </c>
      <c r="F1608" s="157" t="s">
        <v>290</v>
      </c>
      <c r="H1608" s="138">
        <v>409</v>
      </c>
      <c r="I1608" s="139" t="e">
        <f>VLOOKUP(H1608,Stock_list!A:R,18,FALSE)</f>
        <v>#N/A</v>
      </c>
      <c r="J1608" s="139" t="e">
        <f>VLOOKUP(H1608,Stock_list!A:S,17,FALSE)</f>
        <v>#N/A</v>
      </c>
      <c r="K1608" s="51" t="e">
        <f>VLOOKUP(H1608,Stock_list!A:T,16,FALSE)</f>
        <v>#N/A</v>
      </c>
      <c r="L1608" s="4">
        <v>43759</v>
      </c>
      <c r="M1608" s="132">
        <v>60</v>
      </c>
      <c r="P1608" s="4" t="e">
        <f>VLOOKUP(H1608,Stock_list!A:Y,25,FALSE)</f>
        <v>#N/A</v>
      </c>
      <c r="Q1608" s="143"/>
      <c r="T1608" s="144"/>
      <c r="U1608" s="145" t="e">
        <f>VLOOKUP(H1608,Stock_list!A:N,14,FALSE)</f>
        <v>#N/A</v>
      </c>
    </row>
    <row r="1609" spans="1:21" ht="16.5" customHeight="1">
      <c r="A1609" s="159" t="s">
        <v>264</v>
      </c>
      <c r="B1609" s="114" t="str">
        <f>VLOOKUP(A1609,'Data pick slip'!B:F,5,FALSE)</f>
        <v>KHJ-MC200-00</v>
      </c>
      <c r="F1609" s="157" t="s">
        <v>290</v>
      </c>
      <c r="H1609" s="138">
        <v>409</v>
      </c>
      <c r="I1609" s="139" t="e">
        <f>VLOOKUP(H1609,Stock_list!A:R,18,FALSE)</f>
        <v>#N/A</v>
      </c>
      <c r="J1609" s="139" t="e">
        <f>VLOOKUP(H1609,Stock_list!A:S,17,FALSE)</f>
        <v>#N/A</v>
      </c>
      <c r="K1609" s="51" t="e">
        <f>VLOOKUP(H1609,Stock_list!A:T,16,FALSE)</f>
        <v>#N/A</v>
      </c>
      <c r="L1609" s="4">
        <v>43759</v>
      </c>
      <c r="M1609" s="132">
        <v>5</v>
      </c>
      <c r="P1609" s="4" t="e">
        <f>VLOOKUP(H1609,Stock_list!A:Y,25,FALSE)</f>
        <v>#N/A</v>
      </c>
      <c r="Q1609" s="143"/>
      <c r="T1609" s="144"/>
      <c r="U1609" s="145" t="e">
        <f>VLOOKUP(H1609,Stock_list!A:N,14,FALSE)</f>
        <v>#N/A</v>
      </c>
    </row>
    <row r="1610" spans="1:21" ht="16.5" customHeight="1">
      <c r="A1610" s="159" t="s">
        <v>261</v>
      </c>
      <c r="B1610" s="114" t="str">
        <f>VLOOKUP(A1610,'Data pick slip'!B:F,5,FALSE)</f>
        <v>KHJ-MC100-00</v>
      </c>
      <c r="F1610" s="157" t="s">
        <v>290</v>
      </c>
      <c r="H1610" s="138">
        <v>403</v>
      </c>
      <c r="I1610" s="139" t="e">
        <f>VLOOKUP(H1610,Stock_list!A:R,18,FALSE)</f>
        <v>#N/A</v>
      </c>
      <c r="J1610" s="139" t="e">
        <f>VLOOKUP(H1610,Stock_list!A:S,17,FALSE)</f>
        <v>#N/A</v>
      </c>
      <c r="K1610" s="51" t="e">
        <f>VLOOKUP(H1610,Stock_list!A:T,16,FALSE)</f>
        <v>#N/A</v>
      </c>
      <c r="L1610" s="4">
        <v>43700</v>
      </c>
      <c r="M1610" s="140">
        <v>6</v>
      </c>
      <c r="P1610" s="4" t="e">
        <f>VLOOKUP(H1610,Stock_list!A:Y,25,FALSE)</f>
        <v>#N/A</v>
      </c>
      <c r="Q1610" s="143"/>
      <c r="T1610" s="144"/>
      <c r="U1610" s="145" t="e">
        <f>VLOOKUP(H1610,Stock_list!A:N,14,FALSE)</f>
        <v>#N/A</v>
      </c>
    </row>
    <row r="1611" spans="1:21" ht="16.5" customHeight="1">
      <c r="A1611" s="159" t="s">
        <v>265</v>
      </c>
      <c r="B1611" s="114" t="str">
        <f>VLOOKUP(A1611,'Data pick slip'!B:F,5,FALSE)</f>
        <v>KHJ-MC400-00</v>
      </c>
      <c r="F1611" s="157" t="s">
        <v>290</v>
      </c>
      <c r="H1611" s="138">
        <v>403</v>
      </c>
      <c r="I1611" s="139" t="e">
        <f>VLOOKUP(H1611,Stock_list!A:R,18,FALSE)</f>
        <v>#N/A</v>
      </c>
      <c r="J1611" s="139" t="e">
        <f>VLOOKUP(H1611,Stock_list!A:S,17,FALSE)</f>
        <v>#N/A</v>
      </c>
      <c r="K1611" s="51" t="e">
        <f>VLOOKUP(H1611,Stock_list!A:T,16,FALSE)</f>
        <v>#N/A</v>
      </c>
      <c r="L1611" s="4">
        <v>43700</v>
      </c>
      <c r="M1611" s="140">
        <v>4</v>
      </c>
      <c r="P1611" s="4" t="e">
        <f>VLOOKUP(H1611,Stock_list!A:Y,25,FALSE)</f>
        <v>#N/A</v>
      </c>
      <c r="Q1611" s="143"/>
      <c r="T1611" s="144"/>
      <c r="U1611" s="145" t="e">
        <f>VLOOKUP(H1611,Stock_list!A:N,14,FALSE)</f>
        <v>#N/A</v>
      </c>
    </row>
    <row r="1612" spans="1:21" ht="16.5" customHeight="1">
      <c r="A1612" s="159" t="s">
        <v>272</v>
      </c>
      <c r="B1612" s="114" t="str">
        <f>VLOOKUP(A1612,'Data pick slip'!B:F,5,FALSE)</f>
        <v>KLJ-MC100-00</v>
      </c>
      <c r="F1612" s="157" t="s">
        <v>379</v>
      </c>
      <c r="I1612" s="139" t="s">
        <v>533</v>
      </c>
      <c r="J1612" s="139" t="s">
        <v>675</v>
      </c>
      <c r="K1612" s="51" t="s">
        <v>225</v>
      </c>
      <c r="L1612" s="4">
        <v>43698</v>
      </c>
      <c r="M1612" s="140">
        <v>200</v>
      </c>
      <c r="P1612" s="4" t="s">
        <v>214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273</v>
      </c>
      <c r="B1613" s="114" t="str">
        <f>VLOOKUP(A1613,'Data pick slip'!B:F,5,FALSE)</f>
        <v>KLJ-MC200-00</v>
      </c>
      <c r="F1613" s="157" t="s">
        <v>379</v>
      </c>
      <c r="I1613" s="139" t="s">
        <v>533</v>
      </c>
      <c r="J1613" s="139" t="s">
        <v>675</v>
      </c>
      <c r="K1613" s="51" t="s">
        <v>225</v>
      </c>
      <c r="L1613" s="4">
        <v>43698</v>
      </c>
      <c r="M1613" s="140">
        <v>60</v>
      </c>
      <c r="P1613" s="4" t="s">
        <v>214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274</v>
      </c>
      <c r="B1614" s="114" t="str">
        <f>VLOOKUP(A1614,'Data pick slip'!B:F,5,FALSE)</f>
        <v>KLJ-MC400-00</v>
      </c>
      <c r="F1614" s="157" t="s">
        <v>379</v>
      </c>
      <c r="I1614" s="139" t="s">
        <v>533</v>
      </c>
      <c r="J1614" s="139" t="s">
        <v>675</v>
      </c>
      <c r="K1614" s="51" t="s">
        <v>225</v>
      </c>
      <c r="L1614" s="4">
        <v>43698</v>
      </c>
      <c r="M1614" s="140">
        <v>10</v>
      </c>
      <c r="P1614" s="4" t="s">
        <v>214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265</v>
      </c>
      <c r="B1615" s="114" t="str">
        <f>VLOOKUP(A1615,'Data pick slip'!B:F,5,FALSE)</f>
        <v>KHJ-MC400-00</v>
      </c>
      <c r="F1615" s="157" t="s">
        <v>379</v>
      </c>
      <c r="I1615" s="139" t="s">
        <v>533</v>
      </c>
      <c r="J1615" s="139" t="s">
        <v>675</v>
      </c>
      <c r="K1615" s="51" t="s">
        <v>225</v>
      </c>
      <c r="L1615" s="4">
        <v>43698</v>
      </c>
      <c r="M1615" s="140">
        <v>14</v>
      </c>
      <c r="P1615" s="4" t="s">
        <v>214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266</v>
      </c>
      <c r="B1616" s="114" t="str">
        <f>VLOOKUP(A1616,'Data pick slip'!B:F,5,FALSE)</f>
        <v>KHJ-MC500-00</v>
      </c>
      <c r="F1616" s="157" t="s">
        <v>379</v>
      </c>
      <c r="I1616" s="139" t="s">
        <v>533</v>
      </c>
      <c r="J1616" s="139" t="s">
        <v>675</v>
      </c>
      <c r="K1616" s="51" t="s">
        <v>225</v>
      </c>
      <c r="L1616" s="4">
        <v>43698</v>
      </c>
      <c r="M1616" s="140">
        <v>17</v>
      </c>
      <c r="P1616" s="4" t="s">
        <v>214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261</v>
      </c>
      <c r="B1617" s="114" t="str">
        <f>VLOOKUP(A1617,'Data pick slip'!B:F,5,FALSE)</f>
        <v>KHJ-MC100-00</v>
      </c>
      <c r="F1617" s="157" t="s">
        <v>379</v>
      </c>
      <c r="I1617" s="139" t="s">
        <v>533</v>
      </c>
      <c r="J1617" s="139" t="s">
        <v>676</v>
      </c>
      <c r="K1617" s="51" t="s">
        <v>225</v>
      </c>
      <c r="L1617" s="4">
        <v>43699</v>
      </c>
      <c r="M1617" s="140">
        <v>441</v>
      </c>
      <c r="P1617" s="4" t="s">
        <v>214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264</v>
      </c>
      <c r="B1618" s="114" t="str">
        <f>VLOOKUP(A1618,'Data pick slip'!B:F,5,FALSE)</f>
        <v>KHJ-MC200-00</v>
      </c>
      <c r="F1618" s="157" t="s">
        <v>290</v>
      </c>
      <c r="I1618" s="139" t="s">
        <v>657</v>
      </c>
      <c r="J1618" s="139" t="s">
        <v>677</v>
      </c>
      <c r="K1618" s="51" t="s">
        <v>225</v>
      </c>
      <c r="L1618" s="4">
        <v>43705</v>
      </c>
      <c r="M1618" s="140">
        <v>15</v>
      </c>
      <c r="P1618" s="4" t="s">
        <v>214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261</v>
      </c>
      <c r="B1619" s="114" t="str">
        <f>VLOOKUP(A1619,'Data pick slip'!B:F,5,FALSE)</f>
        <v>KHJ-MC100-00</v>
      </c>
      <c r="F1619" s="157" t="s">
        <v>290</v>
      </c>
      <c r="I1619" s="139" t="s">
        <v>611</v>
      </c>
      <c r="J1619" s="139" t="s">
        <v>678</v>
      </c>
      <c r="K1619" s="51" t="s">
        <v>225</v>
      </c>
      <c r="L1619" s="4">
        <v>43705</v>
      </c>
      <c r="M1619" s="140">
        <v>20</v>
      </c>
      <c r="P1619" s="4" t="s">
        <v>214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261</v>
      </c>
      <c r="B1620" s="114" t="str">
        <f>VLOOKUP(A1620,'Data pick slip'!B:F,5,FALSE)</f>
        <v>KHJ-MC100-00</v>
      </c>
      <c r="F1620" s="157" t="s">
        <v>290</v>
      </c>
      <c r="H1620" s="138">
        <v>411</v>
      </c>
      <c r="I1620" s="139" t="e">
        <f>VLOOKUP(H1620,Stock_list!A:R,18,FALSE)</f>
        <v>#N/A</v>
      </c>
      <c r="J1620" s="139" t="e">
        <f>VLOOKUP(H1620,Stock_list!A:S,17,FALSE)</f>
        <v>#N/A</v>
      </c>
      <c r="K1620" s="51" t="e">
        <f>VLOOKUP(H1620,Stock_list!A:T,16,FALSE)</f>
        <v>#N/A</v>
      </c>
      <c r="L1620" s="4">
        <v>43737</v>
      </c>
      <c r="M1620" s="132">
        <v>140</v>
      </c>
      <c r="P1620" s="4" t="e">
        <f>VLOOKUP(H1620,Stock_list!A:Y,25,FALSE)</f>
        <v>#N/A</v>
      </c>
      <c r="Q1620" s="143"/>
      <c r="T1620" s="144"/>
      <c r="U1620" s="145" t="e">
        <f>VLOOKUP(H1620,Stock_list!A:N,14,FALSE)</f>
        <v>#N/A</v>
      </c>
    </row>
    <row r="1621" spans="1:21" ht="16.5" customHeight="1">
      <c r="A1621" s="159" t="s">
        <v>264</v>
      </c>
      <c r="B1621" s="114" t="str">
        <f>VLOOKUP(A1621,'Data pick slip'!B:F,5,FALSE)</f>
        <v>KHJ-MC200-00</v>
      </c>
      <c r="F1621" s="157" t="s">
        <v>290</v>
      </c>
      <c r="H1621" s="138">
        <v>411</v>
      </c>
      <c r="I1621" s="139" t="e">
        <f>VLOOKUP(H1621,Stock_list!A:R,18,FALSE)</f>
        <v>#N/A</v>
      </c>
      <c r="J1621" s="139" t="e">
        <f>VLOOKUP(H1621,Stock_list!A:S,17,FALSE)</f>
        <v>#N/A</v>
      </c>
      <c r="K1621" s="51" t="e">
        <f>VLOOKUP(H1621,Stock_list!A:T,16,FALSE)</f>
        <v>#N/A</v>
      </c>
      <c r="L1621" s="4">
        <v>43737</v>
      </c>
      <c r="M1621" s="132">
        <v>12</v>
      </c>
      <c r="P1621" s="4" t="e">
        <f>VLOOKUP(H1621,Stock_list!A:Y,25,FALSE)</f>
        <v>#N/A</v>
      </c>
      <c r="Q1621" s="143"/>
      <c r="T1621" s="144"/>
      <c r="U1621" s="145" t="e">
        <f>VLOOKUP(H1621,Stock_list!A:N,14,FALSE)</f>
        <v>#N/A</v>
      </c>
    </row>
    <row r="1622" spans="1:21" ht="16.5" customHeight="1">
      <c r="A1622" s="159" t="s">
        <v>266</v>
      </c>
      <c r="B1622" s="114" t="str">
        <f>VLOOKUP(A1622,'Data pick slip'!B:F,5,FALSE)</f>
        <v>KHJ-MC500-00</v>
      </c>
      <c r="F1622" s="157" t="s">
        <v>290</v>
      </c>
      <c r="H1622" s="138">
        <v>411</v>
      </c>
      <c r="I1622" s="139" t="e">
        <f>VLOOKUP(H1622,Stock_list!A:R,18,FALSE)</f>
        <v>#N/A</v>
      </c>
      <c r="J1622" s="139" t="e">
        <f>VLOOKUP(H1622,Stock_list!A:S,17,FALSE)</f>
        <v>#N/A</v>
      </c>
      <c r="K1622" s="51" t="e">
        <f>VLOOKUP(H1622,Stock_list!A:T,16,FALSE)</f>
        <v>#N/A</v>
      </c>
      <c r="L1622" s="4">
        <v>43737</v>
      </c>
      <c r="M1622" s="132">
        <v>2</v>
      </c>
      <c r="P1622" s="4" t="e">
        <f>VLOOKUP(H1622,Stock_list!A:Y,25,FALSE)</f>
        <v>#N/A</v>
      </c>
      <c r="Q1622" s="143"/>
      <c r="T1622" s="144"/>
      <c r="U1622" s="145" t="e">
        <f>VLOOKUP(H1622,Stock_list!A:N,14,FALSE)</f>
        <v>#N/A</v>
      </c>
    </row>
    <row r="1623" spans="1:21" ht="16.5" customHeight="1">
      <c r="A1623" s="159" t="s">
        <v>261</v>
      </c>
      <c r="B1623" s="114" t="str">
        <f>VLOOKUP(A1623,'Data pick slip'!B:F,5,FALSE)</f>
        <v>KHJ-MC100-00</v>
      </c>
      <c r="F1623" s="157" t="s">
        <v>290</v>
      </c>
      <c r="H1623" s="138">
        <v>411</v>
      </c>
      <c r="I1623" s="139" t="e">
        <f>VLOOKUP(H1623,Stock_list!A:R,18,FALSE)</f>
        <v>#N/A</v>
      </c>
      <c r="J1623" s="139" t="e">
        <f>VLOOKUP(H1623,Stock_list!A:S,17,FALSE)</f>
        <v>#N/A</v>
      </c>
      <c r="K1623" s="51" t="e">
        <f>VLOOKUP(H1623,Stock_list!A:T,16,FALSE)</f>
        <v>#N/A</v>
      </c>
      <c r="L1623" s="4">
        <v>43777</v>
      </c>
      <c r="M1623" s="132">
        <v>140</v>
      </c>
      <c r="P1623" s="4" t="e">
        <f>VLOOKUP(H1623,Stock_list!A:Y,25,FALSE)</f>
        <v>#N/A</v>
      </c>
      <c r="Q1623" s="143"/>
      <c r="T1623" s="144"/>
      <c r="U1623" s="145" t="e">
        <f>VLOOKUP(H1623,Stock_list!A:N,14,FALSE)</f>
        <v>#N/A</v>
      </c>
    </row>
    <row r="1624" spans="1:21" ht="16.5" customHeight="1">
      <c r="A1624" s="159" t="s">
        <v>264</v>
      </c>
      <c r="B1624" s="114" t="str">
        <f>VLOOKUP(A1624,'Data pick slip'!B:F,5,FALSE)</f>
        <v>KHJ-MC200-00</v>
      </c>
      <c r="F1624" s="157" t="s">
        <v>290</v>
      </c>
      <c r="H1624" s="138">
        <v>411</v>
      </c>
      <c r="I1624" s="139" t="e">
        <f>VLOOKUP(H1624,Stock_list!A:R,18,FALSE)</f>
        <v>#N/A</v>
      </c>
      <c r="J1624" s="139" t="e">
        <f>VLOOKUP(H1624,Stock_list!A:S,17,FALSE)</f>
        <v>#N/A</v>
      </c>
      <c r="K1624" s="51" t="e">
        <f>VLOOKUP(H1624,Stock_list!A:T,16,FALSE)</f>
        <v>#N/A</v>
      </c>
      <c r="L1624" s="4">
        <v>43777</v>
      </c>
      <c r="M1624" s="132">
        <v>12</v>
      </c>
      <c r="P1624" s="4" t="e">
        <f>VLOOKUP(H1624,Stock_list!A:Y,25,FALSE)</f>
        <v>#N/A</v>
      </c>
      <c r="Q1624" s="143"/>
      <c r="T1624" s="144"/>
      <c r="U1624" s="145" t="e">
        <f>VLOOKUP(H1624,Stock_list!A:N,14,FALSE)</f>
        <v>#N/A</v>
      </c>
    </row>
    <row r="1625" spans="1:21" ht="16.5" customHeight="1">
      <c r="A1625" s="159" t="s">
        <v>266</v>
      </c>
      <c r="B1625" s="114" t="str">
        <f>VLOOKUP(A1625,'Data pick slip'!B:F,5,FALSE)</f>
        <v>KHJ-MC500-00</v>
      </c>
      <c r="F1625" s="157" t="s">
        <v>290</v>
      </c>
      <c r="H1625" s="138">
        <v>411</v>
      </c>
      <c r="I1625" s="139" t="e">
        <f>VLOOKUP(H1625,Stock_list!A:R,18,FALSE)</f>
        <v>#N/A</v>
      </c>
      <c r="J1625" s="139" t="e">
        <f>VLOOKUP(H1625,Stock_list!A:S,17,FALSE)</f>
        <v>#N/A</v>
      </c>
      <c r="K1625" s="51" t="e">
        <f>VLOOKUP(H1625,Stock_list!A:T,16,FALSE)</f>
        <v>#N/A</v>
      </c>
      <c r="L1625" s="4">
        <v>43777</v>
      </c>
      <c r="M1625" s="132">
        <v>2</v>
      </c>
      <c r="P1625" s="4" t="e">
        <f>VLOOKUP(H1625,Stock_list!A:Y,25,FALSE)</f>
        <v>#N/A</v>
      </c>
      <c r="Q1625" s="143"/>
      <c r="T1625" s="144"/>
      <c r="U1625" s="145" t="e">
        <f>VLOOKUP(H1625,Stock_list!A:N,14,FALSE)</f>
        <v>#N/A</v>
      </c>
    </row>
    <row r="1626" spans="1:21" ht="16.5" customHeight="1">
      <c r="A1626" s="159" t="s">
        <v>261</v>
      </c>
      <c r="B1626" s="114" t="str">
        <f>VLOOKUP(A1626,'Data pick slip'!B:F,5,FALSE)</f>
        <v>KHJ-MC100-00</v>
      </c>
      <c r="F1626" s="157" t="s">
        <v>379</v>
      </c>
      <c r="I1626" s="139" t="s">
        <v>533</v>
      </c>
      <c r="J1626" s="139" t="s">
        <v>679</v>
      </c>
      <c r="K1626" s="51" t="s">
        <v>641</v>
      </c>
      <c r="L1626" s="4">
        <v>43713</v>
      </c>
      <c r="M1626" s="140">
        <v>160</v>
      </c>
      <c r="P1626" s="4" t="s">
        <v>214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264</v>
      </c>
      <c r="B1627" s="114" t="str">
        <f>VLOOKUP(A1627,'Data pick slip'!B:F,5,FALSE)</f>
        <v>KHJ-MC200-00</v>
      </c>
      <c r="F1627" s="157" t="s">
        <v>379</v>
      </c>
      <c r="I1627" s="139" t="s">
        <v>533</v>
      </c>
      <c r="J1627" s="139" t="s">
        <v>679</v>
      </c>
      <c r="K1627" s="51" t="s">
        <v>641</v>
      </c>
      <c r="L1627" s="4">
        <v>43713</v>
      </c>
      <c r="M1627" s="140">
        <v>80</v>
      </c>
      <c r="P1627" s="4" t="s">
        <v>214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265</v>
      </c>
      <c r="B1628" s="114" t="str">
        <f>VLOOKUP(A1628,'Data pick slip'!B:F,5,FALSE)</f>
        <v>KHJ-MC400-00</v>
      </c>
      <c r="F1628" s="157" t="s">
        <v>379</v>
      </c>
      <c r="I1628" s="139" t="s">
        <v>533</v>
      </c>
      <c r="J1628" s="139" t="s">
        <v>679</v>
      </c>
      <c r="K1628" s="51" t="s">
        <v>641</v>
      </c>
      <c r="L1628" s="4">
        <v>43713</v>
      </c>
      <c r="M1628" s="140">
        <v>20</v>
      </c>
      <c r="P1628" s="4" t="s">
        <v>214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261</v>
      </c>
      <c r="B1629" s="114" t="str">
        <f>VLOOKUP(A1629,'Data pick slip'!B:F,5,FALSE)</f>
        <v>KHJ-MC100-00</v>
      </c>
      <c r="F1629" s="157" t="s">
        <v>379</v>
      </c>
      <c r="I1629" s="139" t="s">
        <v>533</v>
      </c>
      <c r="J1629" s="139" t="s">
        <v>679</v>
      </c>
      <c r="K1629" s="51" t="s">
        <v>641</v>
      </c>
      <c r="L1629" s="4">
        <v>43713</v>
      </c>
      <c r="M1629" s="140">
        <v>50</v>
      </c>
      <c r="P1629" s="4" t="s">
        <v>214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261</v>
      </c>
      <c r="B1630" s="114" t="str">
        <f>VLOOKUP(A1630,'Data pick slip'!B:F,5,FALSE)</f>
        <v>KHJ-MC100-00</v>
      </c>
      <c r="F1630" s="157" t="s">
        <v>290</v>
      </c>
      <c r="H1630" s="138">
        <v>423</v>
      </c>
      <c r="I1630" s="139" t="e">
        <f>VLOOKUP(H1630,Stock_list!A:R,18,FALSE)</f>
        <v>#N/A</v>
      </c>
      <c r="J1630" s="139" t="e">
        <f>VLOOKUP(H1630,Stock_list!A:S,17,FALSE)</f>
        <v>#N/A</v>
      </c>
      <c r="K1630" s="51" t="e">
        <f>VLOOKUP(H1630,Stock_list!A:T,16,FALSE)</f>
        <v>#N/A</v>
      </c>
      <c r="L1630" s="4">
        <v>43731</v>
      </c>
      <c r="M1630" s="132">
        <v>80</v>
      </c>
      <c r="P1630" s="4" t="e">
        <f>VLOOKUP(H1630,Stock_list!A:Y,25,FALSE)</f>
        <v>#N/A</v>
      </c>
      <c r="Q1630" s="143"/>
      <c r="T1630" s="144"/>
      <c r="U1630" s="145" t="e">
        <f>VLOOKUP(H1630,Stock_list!A:N,14,FALSE)</f>
        <v>#N/A</v>
      </c>
    </row>
    <row r="1631" spans="1:21" ht="16.5" customHeight="1">
      <c r="A1631" s="159" t="s">
        <v>264</v>
      </c>
      <c r="B1631" s="114" t="str">
        <f>VLOOKUP(A1631,'Data pick slip'!B:F,5,FALSE)</f>
        <v>KHJ-MC200-00</v>
      </c>
      <c r="F1631" s="157" t="s">
        <v>290</v>
      </c>
      <c r="H1631" s="138">
        <v>423</v>
      </c>
      <c r="I1631" s="139" t="e">
        <f>VLOOKUP(H1631,Stock_list!A:R,18,FALSE)</f>
        <v>#N/A</v>
      </c>
      <c r="J1631" s="139" t="e">
        <f>VLOOKUP(H1631,Stock_list!A:S,17,FALSE)</f>
        <v>#N/A</v>
      </c>
      <c r="K1631" s="51" t="e">
        <f>VLOOKUP(H1631,Stock_list!A:T,16,FALSE)</f>
        <v>#N/A</v>
      </c>
      <c r="L1631" s="4">
        <v>43731</v>
      </c>
      <c r="M1631" s="132">
        <v>8</v>
      </c>
      <c r="P1631" s="4" t="e">
        <f>VLOOKUP(H1631,Stock_list!A:Y,25,FALSE)</f>
        <v>#N/A</v>
      </c>
      <c r="Q1631" s="143"/>
      <c r="T1631" s="144"/>
      <c r="U1631" s="145" t="e">
        <f>VLOOKUP(H1631,Stock_list!A:N,14,FALSE)</f>
        <v>#N/A</v>
      </c>
    </row>
    <row r="1632" spans="1:21" ht="16.5" customHeight="1">
      <c r="A1632" s="159" t="s">
        <v>265</v>
      </c>
      <c r="B1632" s="114" t="str">
        <f>VLOOKUP(A1632,'Data pick slip'!B:F,5,FALSE)</f>
        <v>KHJ-MC400-00</v>
      </c>
      <c r="F1632" s="157" t="s">
        <v>290</v>
      </c>
      <c r="H1632" s="138">
        <v>423</v>
      </c>
      <c r="I1632" s="139" t="e">
        <f>VLOOKUP(H1632,Stock_list!A:R,18,FALSE)</f>
        <v>#N/A</v>
      </c>
      <c r="J1632" s="139" t="e">
        <f>VLOOKUP(H1632,Stock_list!A:S,17,FALSE)</f>
        <v>#N/A</v>
      </c>
      <c r="K1632" s="51" t="e">
        <f>VLOOKUP(H1632,Stock_list!A:T,16,FALSE)</f>
        <v>#N/A</v>
      </c>
      <c r="L1632" s="4">
        <v>43731</v>
      </c>
      <c r="M1632" s="132">
        <v>1</v>
      </c>
      <c r="P1632" s="4" t="e">
        <f>VLOOKUP(H1632,Stock_list!A:Y,25,FALSE)</f>
        <v>#N/A</v>
      </c>
      <c r="Q1632" s="143"/>
      <c r="T1632" s="144"/>
      <c r="U1632" s="145" t="e">
        <f>VLOOKUP(H1632,Stock_list!A:N,14,FALSE)</f>
        <v>#N/A</v>
      </c>
    </row>
    <row r="1633" spans="1:21" ht="16.5" customHeight="1">
      <c r="A1633" s="159" t="s">
        <v>261</v>
      </c>
      <c r="B1633" s="114" t="str">
        <f>VLOOKUP(A1633,'Data pick slip'!B:F,5,FALSE)</f>
        <v>KHJ-MC100-00</v>
      </c>
      <c r="F1633" s="157" t="s">
        <v>290</v>
      </c>
      <c r="H1633" s="138">
        <v>425</v>
      </c>
      <c r="I1633" s="139" t="e">
        <f>VLOOKUP(H1633,Stock_list!A:R,18,FALSE)</f>
        <v>#N/A</v>
      </c>
      <c r="J1633" s="139" t="e">
        <f>VLOOKUP(H1633,Stock_list!A:S,17,FALSE)</f>
        <v>#N/A</v>
      </c>
      <c r="K1633" s="51" t="e">
        <f>VLOOKUP(H1633,Stock_list!A:T,16,FALSE)</f>
        <v>#N/A</v>
      </c>
      <c r="L1633" s="4">
        <v>43733</v>
      </c>
      <c r="M1633" s="132">
        <v>140</v>
      </c>
      <c r="P1633" s="4" t="e">
        <f>VLOOKUP(H1633,Stock_list!A:Y,25,FALSE)</f>
        <v>#N/A</v>
      </c>
      <c r="Q1633" s="143"/>
      <c r="T1633" s="144"/>
      <c r="U1633" s="145" t="e">
        <f>VLOOKUP(H1633,Stock_list!A:N,14,FALSE)</f>
        <v>#N/A</v>
      </c>
    </row>
    <row r="1634" spans="1:21" ht="16.5" customHeight="1">
      <c r="A1634" s="159" t="s">
        <v>264</v>
      </c>
      <c r="B1634" s="114" t="str">
        <f>VLOOKUP(A1634,'Data pick slip'!B:F,5,FALSE)</f>
        <v>KHJ-MC200-00</v>
      </c>
      <c r="F1634" s="157" t="s">
        <v>290</v>
      </c>
      <c r="H1634" s="138">
        <v>425</v>
      </c>
      <c r="I1634" s="139" t="e">
        <f>VLOOKUP(H1634,Stock_list!A:R,18,FALSE)</f>
        <v>#N/A</v>
      </c>
      <c r="J1634" s="139" t="e">
        <f>VLOOKUP(H1634,Stock_list!A:S,17,FALSE)</f>
        <v>#N/A</v>
      </c>
      <c r="K1634" s="51" t="e">
        <f>VLOOKUP(H1634,Stock_list!A:T,16,FALSE)</f>
        <v>#N/A</v>
      </c>
      <c r="L1634" s="4">
        <v>43733</v>
      </c>
      <c r="M1634" s="132">
        <v>40</v>
      </c>
      <c r="P1634" s="4" t="e">
        <f>VLOOKUP(H1634,Stock_list!A:Y,25,FALSE)</f>
        <v>#N/A</v>
      </c>
      <c r="Q1634" s="143"/>
      <c r="T1634" s="144"/>
      <c r="U1634" s="145" t="e">
        <f>VLOOKUP(H1634,Stock_list!A:N,14,FALSE)</f>
        <v>#N/A</v>
      </c>
    </row>
    <row r="1635" spans="1:21" ht="16.5" customHeight="1">
      <c r="A1635" s="159" t="s">
        <v>265</v>
      </c>
      <c r="B1635" s="114" t="str">
        <f>VLOOKUP(A1635,'Data pick slip'!B:F,5,FALSE)</f>
        <v>KHJ-MC400-00</v>
      </c>
      <c r="F1635" s="157" t="s">
        <v>290</v>
      </c>
      <c r="H1635" s="138">
        <v>425</v>
      </c>
      <c r="I1635" s="139" t="e">
        <f>VLOOKUP(H1635,Stock_list!A:R,18,FALSE)</f>
        <v>#N/A</v>
      </c>
      <c r="J1635" s="139" t="e">
        <f>VLOOKUP(H1635,Stock_list!A:S,17,FALSE)</f>
        <v>#N/A</v>
      </c>
      <c r="K1635" s="51" t="e">
        <f>VLOOKUP(H1635,Stock_list!A:T,16,FALSE)</f>
        <v>#N/A</v>
      </c>
      <c r="L1635" s="4">
        <v>43733</v>
      </c>
      <c r="M1635" s="132">
        <v>7</v>
      </c>
      <c r="P1635" s="4" t="e">
        <f>VLOOKUP(H1635,Stock_list!A:Y,25,FALSE)</f>
        <v>#N/A</v>
      </c>
      <c r="Q1635" s="143"/>
      <c r="T1635" s="144"/>
      <c r="U1635" s="145" t="e">
        <f>VLOOKUP(H1635,Stock_list!A:N,14,FALSE)</f>
        <v>#N/A</v>
      </c>
    </row>
    <row r="1636" spans="1:21" ht="16.5" customHeight="1">
      <c r="A1636" s="159" t="s">
        <v>261</v>
      </c>
      <c r="B1636" s="114" t="str">
        <f>VLOOKUP(A1636,'Data pick slip'!B:F,5,FALSE)</f>
        <v>KHJ-MC100-00</v>
      </c>
      <c r="F1636" s="157" t="s">
        <v>290</v>
      </c>
      <c r="I1636" s="139" t="s">
        <v>617</v>
      </c>
      <c r="J1636" s="139" t="s">
        <v>680</v>
      </c>
      <c r="K1636" s="51" t="s">
        <v>225</v>
      </c>
      <c r="L1636" s="4">
        <v>43718</v>
      </c>
      <c r="M1636" s="140">
        <v>30</v>
      </c>
      <c r="P1636" s="4" t="s">
        <v>214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265</v>
      </c>
      <c r="B1637" s="114" t="str">
        <f>VLOOKUP(A1637,'Data pick slip'!B:F,5,FALSE)</f>
        <v>KHJ-MC400-00</v>
      </c>
      <c r="F1637" s="157" t="s">
        <v>290</v>
      </c>
      <c r="I1637" s="139" t="s">
        <v>371</v>
      </c>
      <c r="J1637" s="139" t="s">
        <v>681</v>
      </c>
      <c r="K1637" s="51" t="s">
        <v>520</v>
      </c>
      <c r="L1637" s="4">
        <v>43719</v>
      </c>
      <c r="M1637" s="140">
        <v>2</v>
      </c>
      <c r="P1637" s="4" t="s">
        <v>214</v>
      </c>
      <c r="Q1637" s="143"/>
      <c r="S1637" s="123" t="s">
        <v>521</v>
      </c>
      <c r="T1637" s="144" t="s">
        <v>682</v>
      </c>
      <c r="U1637" s="145" t="e">
        <f>VLOOKUP(H1637,Stock_list!A:N,14,FALSE)</f>
        <v>#N/A</v>
      </c>
    </row>
    <row r="1638" spans="1:21" ht="16.5" customHeight="1">
      <c r="A1638" s="159" t="s">
        <v>266</v>
      </c>
      <c r="B1638" s="114" t="str">
        <f>VLOOKUP(A1638,'Data pick slip'!B:F,5,FALSE)</f>
        <v>KHJ-MC500-00</v>
      </c>
      <c r="F1638" s="157" t="s">
        <v>290</v>
      </c>
      <c r="I1638" s="139" t="s">
        <v>371</v>
      </c>
      <c r="J1638" s="139" t="s">
        <v>681</v>
      </c>
      <c r="K1638" s="51" t="s">
        <v>520</v>
      </c>
      <c r="L1638" s="4">
        <v>43719</v>
      </c>
      <c r="M1638" s="140">
        <v>2</v>
      </c>
      <c r="P1638" s="4" t="s">
        <v>214</v>
      </c>
      <c r="Q1638" s="143"/>
      <c r="S1638" s="123" t="s">
        <v>521</v>
      </c>
      <c r="T1638" s="144" t="s">
        <v>682</v>
      </c>
      <c r="U1638" s="145" t="e">
        <f>VLOOKUP(H1638,Stock_list!A:N,14,FALSE)</f>
        <v>#N/A</v>
      </c>
    </row>
    <row r="1639" spans="1:21" ht="16.5" customHeight="1">
      <c r="A1639" s="159" t="s">
        <v>272</v>
      </c>
      <c r="B1639" s="114" t="str">
        <f>VLOOKUP(A1639,'Data pick slip'!B:F,5,FALSE)</f>
        <v>KLJ-MC100-00</v>
      </c>
      <c r="F1639" s="157" t="s">
        <v>379</v>
      </c>
      <c r="H1639" s="138">
        <v>427</v>
      </c>
      <c r="I1639" s="139" t="e">
        <f>VLOOKUP(H1639,Stock_list!A:R,18,FALSE)</f>
        <v>#N/A</v>
      </c>
      <c r="J1639" s="139" t="e">
        <f>VLOOKUP(H1639,Stock_list!A:S,17,FALSE)</f>
        <v>#N/A</v>
      </c>
      <c r="K1639" s="51" t="e">
        <f>VLOOKUP(H1639,Stock_list!A:T,16,FALSE)</f>
        <v>#N/A</v>
      </c>
      <c r="L1639" s="4">
        <v>43749</v>
      </c>
      <c r="M1639" s="140">
        <v>20</v>
      </c>
      <c r="P1639" s="4" t="e">
        <f>VLOOKUP(H1639,Stock_list!A:Y,25,FALSE)</f>
        <v>#N/A</v>
      </c>
      <c r="Q1639" s="143"/>
      <c r="T1639" s="144"/>
      <c r="U1639" s="145" t="e">
        <f>VLOOKUP(H1639,Stock_list!A:N,14,FALSE)</f>
        <v>#N/A</v>
      </c>
    </row>
    <row r="1640" spans="1:21" ht="16.5" customHeight="1">
      <c r="A1640" s="159" t="s">
        <v>264</v>
      </c>
      <c r="B1640" s="114" t="str">
        <f>VLOOKUP(A1640,'Data pick slip'!B:F,5,FALSE)</f>
        <v>KHJ-MC200-00</v>
      </c>
      <c r="F1640" s="157" t="s">
        <v>290</v>
      </c>
      <c r="I1640" s="139" t="s">
        <v>617</v>
      </c>
      <c r="J1640" s="139" t="s">
        <v>683</v>
      </c>
      <c r="K1640" s="51" t="s">
        <v>225</v>
      </c>
      <c r="L1640" s="4">
        <v>43720</v>
      </c>
      <c r="M1640" s="140">
        <v>1</v>
      </c>
      <c r="P1640" s="4" t="s">
        <v>214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265</v>
      </c>
      <c r="B1641" s="114" t="str">
        <f>VLOOKUP(A1641,'Data pick slip'!B:F,5,FALSE)</f>
        <v>KHJ-MC400-00</v>
      </c>
      <c r="F1641" s="157" t="s">
        <v>290</v>
      </c>
      <c r="I1641" s="139" t="s">
        <v>617</v>
      </c>
      <c r="J1641" s="139" t="s">
        <v>684</v>
      </c>
      <c r="K1641" s="51" t="s">
        <v>225</v>
      </c>
      <c r="L1641" s="4">
        <v>43720</v>
      </c>
      <c r="M1641" s="140">
        <v>1</v>
      </c>
      <c r="P1641" s="4" t="s">
        <v>214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261</v>
      </c>
      <c r="B1642" s="114" t="str">
        <f>VLOOKUP(A1642,'Data pick slip'!B:F,5,FALSE)</f>
        <v>KHJ-MC100-00</v>
      </c>
      <c r="F1642" s="157" t="s">
        <v>290</v>
      </c>
      <c r="I1642" s="139" t="s">
        <v>617</v>
      </c>
      <c r="J1642" s="139" t="s">
        <v>685</v>
      </c>
      <c r="K1642" s="51" t="s">
        <v>225</v>
      </c>
      <c r="L1642" s="4">
        <v>43724</v>
      </c>
      <c r="M1642" s="140">
        <v>10</v>
      </c>
      <c r="P1642" s="4" t="s">
        <v>214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261</v>
      </c>
      <c r="B1643" s="114" t="str">
        <f>VLOOKUP(A1643,'Data pick slip'!B:F,5,FALSE)</f>
        <v>KHJ-MC100-00</v>
      </c>
      <c r="F1643" s="157" t="s">
        <v>290</v>
      </c>
      <c r="I1643" s="139" t="s">
        <v>617</v>
      </c>
      <c r="J1643" s="139" t="s">
        <v>686</v>
      </c>
      <c r="K1643" s="51" t="s">
        <v>225</v>
      </c>
      <c r="L1643" s="4">
        <v>43712</v>
      </c>
      <c r="M1643" s="140">
        <v>5</v>
      </c>
      <c r="P1643" s="4" t="s">
        <v>214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265</v>
      </c>
      <c r="B1644" s="114" t="str">
        <f>VLOOKUP(A1644,'Data pick slip'!B:F,5,FALSE)</f>
        <v>KHJ-MC400-00</v>
      </c>
      <c r="F1644" s="157" t="s">
        <v>290</v>
      </c>
      <c r="I1644" s="139" t="s">
        <v>617</v>
      </c>
      <c r="J1644" s="139" t="s">
        <v>686</v>
      </c>
      <c r="K1644" s="51" t="s">
        <v>225</v>
      </c>
      <c r="L1644" s="4">
        <v>43712</v>
      </c>
      <c r="M1644" s="140">
        <v>1</v>
      </c>
      <c r="P1644" s="4" t="s">
        <v>214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267</v>
      </c>
      <c r="B1645" s="114" t="str">
        <f>VLOOKUP(A1645,'Data pick slip'!B:F,5,FALSE)</f>
        <v>KHJ-MC600-00</v>
      </c>
      <c r="F1645" s="157" t="s">
        <v>290</v>
      </c>
      <c r="I1645" s="139" t="s">
        <v>611</v>
      </c>
      <c r="J1645" s="139" t="s">
        <v>687</v>
      </c>
      <c r="K1645" s="51" t="s">
        <v>225</v>
      </c>
      <c r="L1645" s="4">
        <v>43725</v>
      </c>
      <c r="M1645" s="140">
        <v>1</v>
      </c>
      <c r="P1645" s="4" t="s">
        <v>214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261</v>
      </c>
      <c r="B1646" s="114" t="str">
        <f>VLOOKUP(A1646,'Data pick slip'!B:F,5,FALSE)</f>
        <v>KHJ-MC100-00</v>
      </c>
      <c r="F1646" s="157" t="s">
        <v>290</v>
      </c>
      <c r="H1646" s="138">
        <v>429</v>
      </c>
      <c r="I1646" s="139" t="e">
        <f>VLOOKUP(H1646,Stock_list!A:R,18,FALSE)</f>
        <v>#N/A</v>
      </c>
      <c r="J1646" s="139" t="e">
        <f>VLOOKUP(H1646,Stock_list!A:S,17,FALSE)</f>
        <v>#N/A</v>
      </c>
      <c r="K1646" s="51" t="e">
        <f>VLOOKUP(H1646,Stock_list!A:T,16,FALSE)</f>
        <v>#N/A</v>
      </c>
      <c r="L1646" s="4">
        <v>43735</v>
      </c>
      <c r="M1646" s="132">
        <v>90</v>
      </c>
      <c r="P1646" s="4" t="e">
        <f>VLOOKUP(H1646,Stock_list!A:Y,25,FALSE)</f>
        <v>#N/A</v>
      </c>
      <c r="Q1646" s="143"/>
      <c r="T1646" s="144"/>
      <c r="U1646" s="145" t="e">
        <f>VLOOKUP(H1646,Stock_list!A:N,14,FALSE)</f>
        <v>#N/A</v>
      </c>
    </row>
    <row r="1647" spans="1:21" ht="16.5" customHeight="1">
      <c r="A1647" s="159" t="s">
        <v>273</v>
      </c>
      <c r="B1647" s="114" t="str">
        <f>VLOOKUP(A1647,'Data pick slip'!B:F,5,FALSE)</f>
        <v>KLJ-MC200-00</v>
      </c>
      <c r="F1647" s="157" t="s">
        <v>290</v>
      </c>
      <c r="H1647" s="138">
        <v>429</v>
      </c>
      <c r="I1647" s="139" t="e">
        <f>VLOOKUP(H1647,Stock_list!A:R,18,FALSE)</f>
        <v>#N/A</v>
      </c>
      <c r="J1647" s="139" t="e">
        <f>VLOOKUP(H1647,Stock_list!A:S,17,FALSE)</f>
        <v>#N/A</v>
      </c>
      <c r="K1647" s="51" t="e">
        <f>VLOOKUP(H1647,Stock_list!A:T,16,FALSE)</f>
        <v>#N/A</v>
      </c>
      <c r="L1647" s="4">
        <v>43735</v>
      </c>
      <c r="M1647" s="132">
        <v>35</v>
      </c>
      <c r="P1647" s="4" t="e">
        <f>VLOOKUP(H1647,Stock_list!A:Y,25,FALSE)</f>
        <v>#N/A</v>
      </c>
      <c r="T1647" s="144"/>
      <c r="U1647" s="145" t="e">
        <f>VLOOKUP(H1647,Stock_list!A:N,14,FALSE)</f>
        <v>#N/A</v>
      </c>
    </row>
    <row r="1648" spans="1:21" ht="16.5" customHeight="1">
      <c r="A1648" s="159" t="s">
        <v>274</v>
      </c>
      <c r="B1648" s="114" t="str">
        <f>VLOOKUP(A1648,'Data pick slip'!B:F,5,FALSE)</f>
        <v>KLJ-MC400-00</v>
      </c>
      <c r="F1648" s="157" t="s">
        <v>290</v>
      </c>
      <c r="H1648" s="138">
        <v>429</v>
      </c>
      <c r="I1648" s="139" t="e">
        <f>VLOOKUP(H1648,Stock_list!A:R,18,FALSE)</f>
        <v>#N/A</v>
      </c>
      <c r="J1648" s="139" t="e">
        <f>VLOOKUP(H1648,Stock_list!A:S,17,FALSE)</f>
        <v>#N/A</v>
      </c>
      <c r="K1648" s="51" t="e">
        <f>VLOOKUP(H1648,Stock_list!A:T,16,FALSE)</f>
        <v>#N/A</v>
      </c>
      <c r="L1648" s="4">
        <v>43735</v>
      </c>
      <c r="M1648" s="132">
        <v>15</v>
      </c>
      <c r="P1648" s="4" t="e">
        <f>VLOOKUP(H1648,Stock_list!A:Y,25,FALSE)</f>
        <v>#N/A</v>
      </c>
      <c r="Q1648" s="143"/>
      <c r="T1648" s="144"/>
      <c r="U1648" s="145" t="e">
        <f>VLOOKUP(H1648,Stock_list!A:N,14,FALSE)</f>
        <v>#N/A</v>
      </c>
    </row>
    <row r="1649" spans="1:21" ht="16.5" customHeight="1">
      <c r="A1649" s="159" t="s">
        <v>275</v>
      </c>
      <c r="B1649" s="114" t="str">
        <f>VLOOKUP(A1649,'Data pick slip'!B:F,5,FALSE)</f>
        <v>KLJ-MC500-00</v>
      </c>
      <c r="F1649" s="157" t="s">
        <v>290</v>
      </c>
      <c r="H1649" s="138">
        <v>429</v>
      </c>
      <c r="I1649" s="139" t="e">
        <f>VLOOKUP(H1649,Stock_list!A:R,18,FALSE)</f>
        <v>#N/A</v>
      </c>
      <c r="J1649" s="139" t="e">
        <f>VLOOKUP(H1649,Stock_list!A:S,17,FALSE)</f>
        <v>#N/A</v>
      </c>
      <c r="K1649" s="51" t="e">
        <f>VLOOKUP(H1649,Stock_list!A:T,16,FALSE)</f>
        <v>#N/A</v>
      </c>
      <c r="L1649" s="4">
        <v>43735</v>
      </c>
      <c r="M1649" s="132">
        <v>1</v>
      </c>
      <c r="P1649" s="4" t="e">
        <f>VLOOKUP(H1649,Stock_list!A:Y,25,FALSE)</f>
        <v>#N/A</v>
      </c>
      <c r="Q1649" s="143"/>
      <c r="T1649" s="144"/>
      <c r="U1649" s="145" t="e">
        <f>VLOOKUP(H1649,Stock_list!A:N,14,FALSE)</f>
        <v>#N/A</v>
      </c>
    </row>
    <row r="1650" spans="1:21" ht="16.5" customHeight="1">
      <c r="A1650" s="159" t="s">
        <v>267</v>
      </c>
      <c r="B1650" s="114" t="str">
        <f>VLOOKUP(A1650,'Data pick slip'!B:F,5,FALSE)</f>
        <v>KHJ-MC600-00</v>
      </c>
      <c r="F1650" s="157" t="s">
        <v>290</v>
      </c>
      <c r="H1650" s="138">
        <v>429</v>
      </c>
      <c r="I1650" s="139" t="e">
        <f>VLOOKUP(H1650,Stock_list!A:R,18,FALSE)</f>
        <v>#N/A</v>
      </c>
      <c r="J1650" s="139" t="e">
        <f>VLOOKUP(H1650,Stock_list!A:S,17,FALSE)</f>
        <v>#N/A</v>
      </c>
      <c r="K1650" s="51" t="e">
        <f>VLOOKUP(H1650,Stock_list!A:T,16,FALSE)</f>
        <v>#N/A</v>
      </c>
      <c r="L1650" s="4">
        <v>43735</v>
      </c>
      <c r="M1650" s="132">
        <v>1</v>
      </c>
      <c r="P1650" s="4" t="e">
        <f>VLOOKUP(H1650,Stock_list!A:Y,25,FALSE)</f>
        <v>#N/A</v>
      </c>
      <c r="Q1650" s="143"/>
      <c r="T1650" s="144"/>
      <c r="U1650" s="145" t="e">
        <f>VLOOKUP(H1650,Stock_list!A:N,14,FALSE)</f>
        <v>#N/A</v>
      </c>
    </row>
    <row r="1651" spans="1:21" ht="16.5" customHeight="1">
      <c r="A1651" s="159" t="s">
        <v>261</v>
      </c>
      <c r="B1651" s="114" t="str">
        <f>VLOOKUP(A1651,'Data pick slip'!B:F,5,FALSE)</f>
        <v>KHJ-MC100-00</v>
      </c>
      <c r="F1651" s="157" t="s">
        <v>379</v>
      </c>
      <c r="I1651" s="139" t="s">
        <v>533</v>
      </c>
      <c r="J1651" s="139" t="s">
        <v>688</v>
      </c>
      <c r="K1651" s="51" t="s">
        <v>225</v>
      </c>
      <c r="L1651" s="4">
        <v>43728</v>
      </c>
      <c r="M1651" s="140">
        <v>300</v>
      </c>
      <c r="P1651" s="4" t="s">
        <v>214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</v>
      </c>
      <c r="B1652" s="114" t="str">
        <f>VLOOKUP(A1652,'Data pick slip'!B:F,5,FALSE)</f>
        <v>KLJ-MC500-00</v>
      </c>
      <c r="F1652" s="157" t="s">
        <v>379</v>
      </c>
      <c r="I1652" s="139" t="s">
        <v>533</v>
      </c>
      <c r="J1652" s="139" t="s">
        <v>688</v>
      </c>
      <c r="K1652" s="51" t="s">
        <v>225</v>
      </c>
      <c r="L1652" s="4">
        <v>43728</v>
      </c>
      <c r="M1652" s="140">
        <v>5</v>
      </c>
      <c r="P1652" s="4" t="s">
        <v>214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265</v>
      </c>
      <c r="B1653" s="114" t="str">
        <f>VLOOKUP(A1653,'Data pick slip'!B:F,5,FALSE)</f>
        <v>KHJ-MC400-00</v>
      </c>
      <c r="F1653" s="157" t="s">
        <v>379</v>
      </c>
      <c r="I1653" s="139" t="s">
        <v>533</v>
      </c>
      <c r="J1653" s="139" t="s">
        <v>688</v>
      </c>
      <c r="K1653" s="51" t="s">
        <v>225</v>
      </c>
      <c r="L1653" s="4">
        <v>43728</v>
      </c>
      <c r="M1653" s="140">
        <v>20</v>
      </c>
      <c r="P1653" s="4" t="s">
        <v>214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261</v>
      </c>
      <c r="B1654" s="114" t="str">
        <f>VLOOKUP(A1654,'Data pick slip'!B:F,5,FALSE)</f>
        <v>KHJ-MC100-00</v>
      </c>
      <c r="F1654" s="157" t="s">
        <v>290</v>
      </c>
      <c r="H1654" s="138">
        <v>432</v>
      </c>
      <c r="I1654" s="139" t="e">
        <f>VLOOKUP(H1654,Stock_list!A:R,18,FALSE)</f>
        <v>#N/A</v>
      </c>
      <c r="J1654" s="139" t="e">
        <f>VLOOKUP(H1654,Stock_list!A:S,17,FALSE)</f>
        <v>#N/A</v>
      </c>
      <c r="K1654" s="51" t="e">
        <f>VLOOKUP(H1654,Stock_list!A:T,16,FALSE)</f>
        <v>#N/A</v>
      </c>
      <c r="L1654" s="4">
        <v>43753</v>
      </c>
      <c r="M1654" s="132">
        <v>25</v>
      </c>
      <c r="P1654" s="4" t="e">
        <f>VLOOKUP(H1654,Stock_list!A:Y,25,FALSE)</f>
        <v>#N/A</v>
      </c>
      <c r="Q1654" s="143"/>
      <c r="T1654" s="144"/>
      <c r="U1654" s="145" t="e">
        <f>VLOOKUP(H1654,Stock_list!A:N,14,FALSE)</f>
        <v>#N/A</v>
      </c>
    </row>
    <row r="1655" spans="1:21" ht="16.5" customHeight="1">
      <c r="A1655" s="159" t="s">
        <v>264</v>
      </c>
      <c r="B1655" s="114" t="str">
        <f>VLOOKUP(A1655,'Data pick slip'!B:F,5,FALSE)</f>
        <v>KHJ-MC200-00</v>
      </c>
      <c r="F1655" s="157" t="s">
        <v>290</v>
      </c>
      <c r="H1655" s="138">
        <v>432</v>
      </c>
      <c r="I1655" s="139" t="e">
        <f>VLOOKUP(H1655,Stock_list!A:R,18,FALSE)</f>
        <v>#N/A</v>
      </c>
      <c r="J1655" s="139" t="e">
        <f>VLOOKUP(H1655,Stock_list!A:S,17,FALSE)</f>
        <v>#N/A</v>
      </c>
      <c r="K1655" s="51" t="e">
        <f>VLOOKUP(H1655,Stock_list!A:T,16,FALSE)</f>
        <v>#N/A</v>
      </c>
      <c r="L1655" s="4">
        <v>43753</v>
      </c>
      <c r="M1655" s="132">
        <v>10</v>
      </c>
      <c r="P1655" s="4" t="e">
        <f>VLOOKUP(H1655,Stock_list!A:Y,25,FALSE)</f>
        <v>#N/A</v>
      </c>
      <c r="Q1655" s="143"/>
      <c r="T1655" s="144"/>
      <c r="U1655" s="145" t="e">
        <f>VLOOKUP(H1655,Stock_list!A:N,14,FALSE)</f>
        <v>#N/A</v>
      </c>
    </row>
    <row r="1656" spans="1:21" ht="16.5" customHeight="1">
      <c r="A1656" s="159" t="s">
        <v>261</v>
      </c>
      <c r="B1656" s="114" t="str">
        <f>VLOOKUP(A1656,'Data pick slip'!B:F,5,FALSE)</f>
        <v>KHJ-MC100-00</v>
      </c>
      <c r="F1656" s="157" t="s">
        <v>290</v>
      </c>
      <c r="H1656" s="138">
        <v>434</v>
      </c>
      <c r="I1656" s="139" t="e">
        <f>VLOOKUP(H1656,Stock_list!A:R,18,FALSE)</f>
        <v>#N/A</v>
      </c>
      <c r="J1656" s="139" t="e">
        <f>VLOOKUP(H1656,Stock_list!A:S,17,FALSE)</f>
        <v>#N/A</v>
      </c>
      <c r="K1656" s="51" t="e">
        <f>VLOOKUP(H1656,Stock_list!A:T,16,FALSE)</f>
        <v>#N/A</v>
      </c>
      <c r="L1656" s="4">
        <v>43759</v>
      </c>
      <c r="M1656" s="132">
        <v>2</v>
      </c>
      <c r="P1656" s="4" t="e">
        <f>VLOOKUP(H1656,Stock_list!A:Y,25,FALSE)</f>
        <v>#N/A</v>
      </c>
      <c r="Q1656" s="143"/>
      <c r="T1656" s="144"/>
      <c r="U1656" s="145" t="e">
        <f>VLOOKUP(H1656,Stock_list!A:N,14,FALSE)</f>
        <v>#N/A</v>
      </c>
    </row>
    <row r="1657" spans="1:21" ht="16.5" customHeight="1">
      <c r="A1657" s="159" t="s">
        <v>261</v>
      </c>
      <c r="B1657" s="114" t="str">
        <f>VLOOKUP(A1657,'Data pick slip'!B:F,5,FALSE)</f>
        <v>KHJ-MC100-00</v>
      </c>
      <c r="F1657" s="157" t="s">
        <v>379</v>
      </c>
      <c r="I1657" s="139" t="s">
        <v>533</v>
      </c>
      <c r="J1657" s="139" t="s">
        <v>689</v>
      </c>
      <c r="K1657" s="51" t="s">
        <v>225</v>
      </c>
      <c r="L1657" s="4">
        <v>43735</v>
      </c>
      <c r="M1657" s="140">
        <v>315</v>
      </c>
      <c r="P1657" s="4" t="s">
        <v>214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265</v>
      </c>
      <c r="B1658" s="114" t="str">
        <f>VLOOKUP(A1658,'Data pick slip'!B:F,5,FALSE)</f>
        <v>KHJ-MC400-00</v>
      </c>
      <c r="F1658" s="157" t="s">
        <v>379</v>
      </c>
      <c r="I1658" s="139" t="s">
        <v>533</v>
      </c>
      <c r="J1658" s="139" t="s">
        <v>689</v>
      </c>
      <c r="K1658" s="51" t="s">
        <v>225</v>
      </c>
      <c r="L1658" s="4">
        <v>43735</v>
      </c>
      <c r="M1658" s="140">
        <v>20</v>
      </c>
      <c r="P1658" s="4" t="s">
        <v>214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261</v>
      </c>
      <c r="B1659" s="114" t="str">
        <f>VLOOKUP(A1659,'Data pick slip'!B:F,5,FALSE)</f>
        <v>KHJ-MC100-00</v>
      </c>
      <c r="F1659" s="157" t="s">
        <v>379</v>
      </c>
      <c r="I1659" s="139" t="s">
        <v>533</v>
      </c>
      <c r="J1659" s="139" t="s">
        <v>690</v>
      </c>
      <c r="K1659" s="51" t="s">
        <v>225</v>
      </c>
      <c r="L1659" s="4">
        <v>43737</v>
      </c>
      <c r="M1659" s="140">
        <v>140</v>
      </c>
      <c r="P1659" s="4" t="s">
        <v>214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266</v>
      </c>
      <c r="B1660" s="114" t="str">
        <f>VLOOKUP(A1660,'Data pick slip'!B:F,5,FALSE)</f>
        <v>KHJ-MC500-00</v>
      </c>
      <c r="F1660" s="157" t="s">
        <v>379</v>
      </c>
      <c r="I1660" s="139" t="s">
        <v>533</v>
      </c>
      <c r="J1660" s="139" t="s">
        <v>690</v>
      </c>
      <c r="K1660" s="51" t="s">
        <v>225</v>
      </c>
      <c r="L1660" s="4">
        <v>43737</v>
      </c>
      <c r="M1660" s="140">
        <v>2</v>
      </c>
      <c r="P1660" s="4" t="s">
        <v>214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261</v>
      </c>
      <c r="B1661" s="114" t="str">
        <f>VLOOKUP(A1661,'Data pick slip'!B:F,5,FALSE)</f>
        <v>KHJ-MC100-00</v>
      </c>
      <c r="F1661" s="157" t="s">
        <v>290</v>
      </c>
      <c r="H1661" s="138">
        <v>435</v>
      </c>
      <c r="I1661" s="139" t="e">
        <f>VLOOKUP(H1661,Stock_list!A:R,18,FALSE)</f>
        <v>#N/A</v>
      </c>
      <c r="J1661" s="139" t="e">
        <f>VLOOKUP(H1661,Stock_list!A:S,17,FALSE)</f>
        <v>#N/A</v>
      </c>
      <c r="K1661" s="51" t="e">
        <f>VLOOKUP(H1661,Stock_list!A:T,16,FALSE)</f>
        <v>#N/A</v>
      </c>
      <c r="L1661" s="4">
        <v>43776</v>
      </c>
      <c r="M1661" s="132">
        <v>60</v>
      </c>
      <c r="P1661" s="4" t="e">
        <f>VLOOKUP(H1661,Stock_list!A:Y,25,FALSE)</f>
        <v>#N/A</v>
      </c>
      <c r="Q1661" s="143"/>
      <c r="T1661" s="144"/>
      <c r="U1661" s="145" t="e">
        <f>VLOOKUP(H1661,Stock_list!A:N,14,FALSE)</f>
        <v>#N/A</v>
      </c>
    </row>
    <row r="1662" spans="1:21" ht="16.5" customHeight="1">
      <c r="A1662" s="159" t="s">
        <v>264</v>
      </c>
      <c r="B1662" s="114" t="str">
        <f>VLOOKUP(A1662,'Data pick slip'!B:F,5,FALSE)</f>
        <v>KHJ-MC200-00</v>
      </c>
      <c r="F1662" s="157" t="s">
        <v>290</v>
      </c>
      <c r="H1662" s="138">
        <v>435</v>
      </c>
      <c r="I1662" s="139" t="e">
        <f>VLOOKUP(H1662,Stock_list!A:R,18,FALSE)</f>
        <v>#N/A</v>
      </c>
      <c r="J1662" s="139" t="e">
        <f>VLOOKUP(H1662,Stock_list!A:S,17,FALSE)</f>
        <v>#N/A</v>
      </c>
      <c r="K1662" s="51" t="e">
        <f>VLOOKUP(H1662,Stock_list!A:T,16,FALSE)</f>
        <v>#N/A</v>
      </c>
      <c r="L1662" s="4">
        <v>43776</v>
      </c>
      <c r="M1662" s="132">
        <v>4</v>
      </c>
      <c r="P1662" s="4" t="e">
        <f>VLOOKUP(H1662,Stock_list!A:Y,25,FALSE)</f>
        <v>#N/A</v>
      </c>
      <c r="Q1662" s="143"/>
      <c r="T1662" s="144"/>
      <c r="U1662" s="145" t="e">
        <f>VLOOKUP(H1662,Stock_list!A:N,14,FALSE)</f>
        <v>#N/A</v>
      </c>
    </row>
    <row r="1663" spans="1:21" ht="16.5" customHeight="1">
      <c r="A1663" s="159" t="s">
        <v>265</v>
      </c>
      <c r="B1663" s="114" t="str">
        <f>VLOOKUP(A1663,'Data pick slip'!B:F,5,FALSE)</f>
        <v>KHJ-MC400-00</v>
      </c>
      <c r="F1663" s="157" t="s">
        <v>290</v>
      </c>
      <c r="H1663" s="138">
        <v>435</v>
      </c>
      <c r="I1663" s="139" t="e">
        <f>VLOOKUP(H1663,Stock_list!A:R,18,FALSE)</f>
        <v>#N/A</v>
      </c>
      <c r="J1663" s="139" t="e">
        <f>VLOOKUP(H1663,Stock_list!A:S,17,FALSE)</f>
        <v>#N/A</v>
      </c>
      <c r="K1663" s="51" t="e">
        <f>VLOOKUP(H1663,Stock_list!A:T,16,FALSE)</f>
        <v>#N/A</v>
      </c>
      <c r="L1663" s="4">
        <v>43776</v>
      </c>
      <c r="M1663" s="132">
        <v>2</v>
      </c>
      <c r="P1663" s="4" t="e">
        <f>VLOOKUP(H1663,Stock_list!A:Y,25,FALSE)</f>
        <v>#N/A</v>
      </c>
      <c r="Q1663" s="143"/>
      <c r="T1663" s="144"/>
      <c r="U1663" s="145" t="e">
        <f>VLOOKUP(H1663,Stock_list!A:N,14,FALSE)</f>
        <v>#N/A</v>
      </c>
    </row>
    <row r="1664" spans="1:21" ht="16.5" customHeight="1">
      <c r="A1664" s="159" t="s">
        <v>261</v>
      </c>
      <c r="B1664" s="114" t="str">
        <f>VLOOKUP(A1664,'Data pick slip'!B:F,5,FALSE)</f>
        <v>KHJ-MC100-00</v>
      </c>
      <c r="F1664" s="157" t="s">
        <v>290</v>
      </c>
      <c r="I1664" s="139" t="s">
        <v>657</v>
      </c>
      <c r="J1664" s="139" t="s">
        <v>691</v>
      </c>
      <c r="K1664" s="51" t="s">
        <v>225</v>
      </c>
      <c r="L1664" s="4">
        <v>43746</v>
      </c>
      <c r="M1664" s="132">
        <v>5</v>
      </c>
      <c r="P1664" s="4" t="s">
        <v>214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264</v>
      </c>
      <c r="B1665" s="114" t="str">
        <f>VLOOKUP(A1665,'Data pick slip'!B:F,5,FALSE)</f>
        <v>KHJ-MC200-00</v>
      </c>
      <c r="F1665" s="157" t="s">
        <v>290</v>
      </c>
      <c r="I1665" s="139" t="s">
        <v>657</v>
      </c>
      <c r="J1665" s="139" t="s">
        <v>691</v>
      </c>
      <c r="K1665" s="51" t="s">
        <v>225</v>
      </c>
      <c r="L1665" s="4">
        <v>43746</v>
      </c>
      <c r="M1665" s="132">
        <v>3</v>
      </c>
      <c r="P1665" s="4" t="s">
        <v>214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261</v>
      </c>
      <c r="B1666" s="114" t="str">
        <f>VLOOKUP(A1666,'Data pick slip'!B:F,5,FALSE)</f>
        <v>KHJ-MC100-00</v>
      </c>
      <c r="F1666" s="157" t="s">
        <v>290</v>
      </c>
      <c r="H1666" s="138">
        <v>385</v>
      </c>
      <c r="I1666" s="139" t="e">
        <f>VLOOKUP(H1666,Stock_list!A:R,18,FALSE)</f>
        <v>#N/A</v>
      </c>
      <c r="J1666" s="139" t="e">
        <f>VLOOKUP(H1666,Stock_list!A:S,17,FALSE)</f>
        <v>#N/A</v>
      </c>
      <c r="K1666" s="51" t="e">
        <f>VLOOKUP(H1666,Stock_list!A:T,16,FALSE)</f>
        <v>#N/A</v>
      </c>
      <c r="L1666" s="4">
        <v>43735</v>
      </c>
      <c r="M1666" s="140">
        <v>20</v>
      </c>
      <c r="P1666" s="4" t="e">
        <f>VLOOKUP(H1666,Stock_list!A:Y,25,FALSE)</f>
        <v>#N/A</v>
      </c>
      <c r="Q1666" s="143"/>
      <c r="T1666" s="144"/>
      <c r="U1666" s="145" t="e">
        <f>VLOOKUP(H1666,Stock_list!A:N,14,FALSE)</f>
        <v>#N/A</v>
      </c>
    </row>
    <row r="1667" spans="1:21" ht="16.5" customHeight="1">
      <c r="A1667" s="159" t="s">
        <v>261</v>
      </c>
      <c r="B1667" s="114" t="str">
        <f>VLOOKUP(A1667,'Data pick slip'!B:F,5,FALSE)</f>
        <v>KHJ-MC100-00</v>
      </c>
      <c r="F1667" s="157" t="s">
        <v>290</v>
      </c>
      <c r="H1667" s="138">
        <v>385</v>
      </c>
      <c r="I1667" s="139" t="e">
        <f>VLOOKUP(H1667,Stock_list!A:R,18,FALSE)</f>
        <v>#N/A</v>
      </c>
      <c r="J1667" s="139" t="e">
        <f>VLOOKUP(H1667,Stock_list!A:S,17,FALSE)</f>
        <v>#N/A</v>
      </c>
      <c r="K1667" s="51" t="e">
        <f>VLOOKUP(H1667,Stock_list!A:T,16,FALSE)</f>
        <v>#N/A</v>
      </c>
      <c r="L1667" s="4">
        <v>43781</v>
      </c>
      <c r="M1667" s="140">
        <v>10</v>
      </c>
      <c r="P1667" s="4" t="e">
        <f>VLOOKUP(H1667,Stock_list!A:Y,25,FALSE)</f>
        <v>#N/A</v>
      </c>
      <c r="Q1667" s="143"/>
      <c r="T1667" s="144"/>
      <c r="U1667" s="145" t="e">
        <f>VLOOKUP(H1667,Stock_list!A:N,14,FALSE)</f>
        <v>#N/A</v>
      </c>
    </row>
    <row r="1668" spans="1:21" ht="16.5" customHeight="1">
      <c r="A1668" s="159" t="s">
        <v>266</v>
      </c>
      <c r="B1668" s="114" t="str">
        <f>VLOOKUP(A1668,'Data pick slip'!B:F,5,FALSE)</f>
        <v>KHJ-MC500-00</v>
      </c>
      <c r="F1668" s="157" t="s">
        <v>290</v>
      </c>
      <c r="I1668" s="139" t="s">
        <v>611</v>
      </c>
      <c r="J1668" s="139" t="s">
        <v>692</v>
      </c>
      <c r="K1668" s="51" t="s">
        <v>225</v>
      </c>
      <c r="L1668" s="4">
        <v>43735</v>
      </c>
      <c r="M1668" s="140">
        <v>1</v>
      </c>
      <c r="P1668" s="4" t="s">
        <v>214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261</v>
      </c>
      <c r="B1669" s="114" t="str">
        <f>VLOOKUP(A1669,'Data pick slip'!B:F,5,FALSE)</f>
        <v>KHJ-MC100-00</v>
      </c>
      <c r="F1669" s="157" t="s">
        <v>290</v>
      </c>
      <c r="H1669" s="138">
        <v>436</v>
      </c>
      <c r="I1669" s="139" t="e">
        <f>VLOOKUP(H1669,Stock_list!A:R,18,FALSE)</f>
        <v>#N/A</v>
      </c>
      <c r="J1669" s="139" t="e">
        <f>VLOOKUP(H1669,Stock_list!A:S,17,FALSE)</f>
        <v>#N/A</v>
      </c>
      <c r="K1669" s="51" t="e">
        <f>VLOOKUP(H1669,Stock_list!A:T,16,FALSE)</f>
        <v>#N/A</v>
      </c>
      <c r="L1669" s="4">
        <v>43748</v>
      </c>
      <c r="M1669" s="132">
        <v>130</v>
      </c>
      <c r="P1669" s="4" t="e">
        <f>VLOOKUP(H1669,Stock_list!A:Y,25,FALSE)</f>
        <v>#N/A</v>
      </c>
      <c r="Q1669" s="133"/>
      <c r="T1669" s="144"/>
      <c r="U1669" s="145" t="e">
        <f>VLOOKUP(H1669,Stock_list!A:N,14,FALSE)</f>
        <v>#N/A</v>
      </c>
    </row>
    <row r="1670" spans="1:21" ht="16.5" customHeight="1">
      <c r="A1670" s="159" t="s">
        <v>264</v>
      </c>
      <c r="B1670" s="114" t="str">
        <f>VLOOKUP(A1670,'Data pick slip'!B:F,5,FALSE)</f>
        <v>KHJ-MC200-00</v>
      </c>
      <c r="F1670" s="157" t="s">
        <v>290</v>
      </c>
      <c r="H1670" s="138">
        <v>436</v>
      </c>
      <c r="I1670" s="139" t="e">
        <f>VLOOKUP(H1670,Stock_list!A:R,18,FALSE)</f>
        <v>#N/A</v>
      </c>
      <c r="J1670" s="139" t="e">
        <f>VLOOKUP(H1670,Stock_list!A:S,17,FALSE)</f>
        <v>#N/A</v>
      </c>
      <c r="K1670" s="51" t="e">
        <f>VLOOKUP(H1670,Stock_list!A:T,16,FALSE)</f>
        <v>#N/A</v>
      </c>
      <c r="L1670" s="4">
        <v>43748</v>
      </c>
      <c r="M1670" s="132">
        <v>30</v>
      </c>
      <c r="P1670" s="4" t="e">
        <f>VLOOKUP(H1670,Stock_list!A:Y,25,FALSE)</f>
        <v>#N/A</v>
      </c>
      <c r="Q1670" s="133"/>
      <c r="T1670" s="144"/>
      <c r="U1670" s="145" t="e">
        <f>VLOOKUP(H1670,Stock_list!A:N,14,FALSE)</f>
        <v>#N/A</v>
      </c>
    </row>
    <row r="1671" spans="1:21" ht="16.5" customHeight="1">
      <c r="A1671" s="159" t="s">
        <v>265</v>
      </c>
      <c r="B1671" s="114" t="str">
        <f>VLOOKUP(A1671,'Data pick slip'!B:F,5,FALSE)</f>
        <v>KHJ-MC400-00</v>
      </c>
      <c r="F1671" s="157" t="s">
        <v>290</v>
      </c>
      <c r="H1671" s="138">
        <v>436</v>
      </c>
      <c r="I1671" s="139" t="e">
        <f>VLOOKUP(H1671,Stock_list!A:R,18,FALSE)</f>
        <v>#N/A</v>
      </c>
      <c r="J1671" s="139" t="e">
        <f>VLOOKUP(H1671,Stock_list!A:S,17,FALSE)</f>
        <v>#N/A</v>
      </c>
      <c r="K1671" s="51" t="e">
        <f>VLOOKUP(H1671,Stock_list!A:T,16,FALSE)</f>
        <v>#N/A</v>
      </c>
      <c r="L1671" s="4">
        <v>43748</v>
      </c>
      <c r="M1671" s="132">
        <v>10</v>
      </c>
      <c r="P1671" s="4" t="e">
        <f>VLOOKUP(H1671,Stock_list!A:Y,25,FALSE)</f>
        <v>#N/A</v>
      </c>
      <c r="Q1671" s="133"/>
      <c r="T1671" s="144"/>
      <c r="U1671" s="145" t="e">
        <f>VLOOKUP(H1671,Stock_list!A:N,14,FALSE)</f>
        <v>#N/A</v>
      </c>
    </row>
    <row r="1672" spans="1:21" ht="16.5" customHeight="1">
      <c r="A1672" s="159" t="s">
        <v>266</v>
      </c>
      <c r="B1672" s="114" t="str">
        <f>VLOOKUP(A1672,'Data pick slip'!B:F,5,FALSE)</f>
        <v>KHJ-MC500-00</v>
      </c>
      <c r="F1672" s="157" t="s">
        <v>290</v>
      </c>
      <c r="H1672" s="138">
        <v>436</v>
      </c>
      <c r="I1672" s="139" t="e">
        <f>VLOOKUP(H1672,Stock_list!A:R,18,FALSE)</f>
        <v>#N/A</v>
      </c>
      <c r="J1672" s="139" t="e">
        <f>VLOOKUP(H1672,Stock_list!A:S,17,FALSE)</f>
        <v>#N/A</v>
      </c>
      <c r="K1672" s="51" t="e">
        <f>VLOOKUP(H1672,Stock_list!A:T,16,FALSE)</f>
        <v>#N/A</v>
      </c>
      <c r="L1672" s="4">
        <v>43748</v>
      </c>
      <c r="M1672" s="132">
        <v>5</v>
      </c>
      <c r="P1672" s="4" t="e">
        <f>VLOOKUP(H1672,Stock_list!A:Y,25,FALSE)</f>
        <v>#N/A</v>
      </c>
      <c r="Q1672" s="133"/>
      <c r="T1672" s="144"/>
      <c r="U1672" s="145" t="e">
        <f>VLOOKUP(H1672,Stock_list!A:N,14,FALSE)</f>
        <v>#N/A</v>
      </c>
    </row>
    <row r="1673" spans="1:21" ht="16.5" customHeight="1">
      <c r="A1673" s="159" t="s">
        <v>261</v>
      </c>
      <c r="B1673" s="114" t="str">
        <f>VLOOKUP(A1673,'Data pick slip'!B:F,5,FALSE)</f>
        <v>KHJ-MC100-00</v>
      </c>
      <c r="F1673" s="157" t="s">
        <v>290</v>
      </c>
      <c r="I1673" s="139" t="s">
        <v>611</v>
      </c>
      <c r="J1673" s="139" t="s">
        <v>693</v>
      </c>
      <c r="K1673" s="51" t="s">
        <v>225</v>
      </c>
      <c r="L1673" s="4">
        <v>43714</v>
      </c>
      <c r="M1673" s="140">
        <v>6</v>
      </c>
      <c r="P1673" s="4" t="s">
        <v>214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261</v>
      </c>
      <c r="B1674" s="114" t="str">
        <f>VLOOKUP(A1674,'Data pick slip'!B:F,5,FALSE)</f>
        <v>KHJ-MC100-00</v>
      </c>
      <c r="F1674" s="157" t="s">
        <v>290</v>
      </c>
      <c r="I1674" s="139" t="s">
        <v>611</v>
      </c>
      <c r="J1674" s="139" t="s">
        <v>694</v>
      </c>
      <c r="K1674" s="51" t="s">
        <v>225</v>
      </c>
      <c r="L1674" s="4">
        <v>43738</v>
      </c>
      <c r="M1674" s="140">
        <v>7</v>
      </c>
      <c r="P1674" s="4" t="s">
        <v>214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265</v>
      </c>
      <c r="B1675" s="114" t="str">
        <f>VLOOKUP(A1675,'Data pick slip'!B:F,5,FALSE)</f>
        <v>KHJ-MC400-00</v>
      </c>
      <c r="F1675" s="157" t="s">
        <v>290</v>
      </c>
      <c r="I1675" s="139" t="s">
        <v>611</v>
      </c>
      <c r="J1675" s="139" t="s">
        <v>694</v>
      </c>
      <c r="K1675" s="51" t="s">
        <v>225</v>
      </c>
      <c r="L1675" s="4">
        <v>43738</v>
      </c>
      <c r="M1675" s="140">
        <v>2</v>
      </c>
      <c r="P1675" s="4" t="s">
        <v>214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265</v>
      </c>
      <c r="B1676" s="114" t="str">
        <f>VLOOKUP(A1676,'Data pick slip'!B:F,5,FALSE)</f>
        <v>KHJ-MC400-00</v>
      </c>
      <c r="F1676" s="157" t="s">
        <v>290</v>
      </c>
      <c r="I1676" s="139" t="s">
        <v>611</v>
      </c>
      <c r="J1676" s="139" t="s">
        <v>695</v>
      </c>
      <c r="K1676" s="51" t="s">
        <v>225</v>
      </c>
      <c r="L1676" s="4">
        <v>43747</v>
      </c>
      <c r="M1676" s="140">
        <v>2</v>
      </c>
      <c r="P1676" s="4" t="s">
        <v>214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261</v>
      </c>
      <c r="B1677" s="114" t="str">
        <f>VLOOKUP(A1677,'Data pick slip'!B:F,5,FALSE)</f>
        <v>KHJ-MC100-00</v>
      </c>
      <c r="F1677" s="157" t="s">
        <v>379</v>
      </c>
      <c r="H1677" s="138">
        <v>438</v>
      </c>
      <c r="I1677" s="139" t="e">
        <f>VLOOKUP(H1677,Stock_list!A:R,18,FALSE)</f>
        <v>#N/A</v>
      </c>
      <c r="J1677" s="139" t="e">
        <f>VLOOKUP(H1677,Stock_list!A:S,17,FALSE)</f>
        <v>#N/A</v>
      </c>
      <c r="K1677" s="51" t="e">
        <f>VLOOKUP(H1677,Stock_list!A:T,16,FALSE)</f>
        <v>#N/A</v>
      </c>
      <c r="L1677" s="4">
        <v>43790</v>
      </c>
      <c r="M1677" s="132">
        <v>150</v>
      </c>
      <c r="P1677" s="4" t="e">
        <f>VLOOKUP(H1677,Stock_list!A:Y,25,FALSE)</f>
        <v>#N/A</v>
      </c>
      <c r="Q1677" s="143"/>
      <c r="T1677" s="144"/>
      <c r="U1677" s="145" t="e">
        <f>VLOOKUP(H1677,Stock_list!A:N,14,FALSE)</f>
        <v>#N/A</v>
      </c>
    </row>
    <row r="1678" spans="1:21" ht="16.5" customHeight="1">
      <c r="A1678" s="159" t="s">
        <v>264</v>
      </c>
      <c r="B1678" s="114" t="str">
        <f>VLOOKUP(A1678,'Data pick slip'!B:F,5,FALSE)</f>
        <v>KHJ-MC200-00</v>
      </c>
      <c r="F1678" s="157" t="s">
        <v>379</v>
      </c>
      <c r="H1678" s="138">
        <v>438</v>
      </c>
      <c r="I1678" s="139" t="e">
        <f>VLOOKUP(H1678,Stock_list!A:R,18,FALSE)</f>
        <v>#N/A</v>
      </c>
      <c r="J1678" s="139" t="e">
        <f>VLOOKUP(H1678,Stock_list!A:S,17,FALSE)</f>
        <v>#N/A</v>
      </c>
      <c r="K1678" s="51" t="e">
        <f>VLOOKUP(H1678,Stock_list!A:T,16,FALSE)</f>
        <v>#N/A</v>
      </c>
      <c r="L1678" s="4">
        <v>43790</v>
      </c>
      <c r="M1678" s="132">
        <v>60</v>
      </c>
      <c r="P1678" s="4" t="e">
        <f>VLOOKUP(H1678,Stock_list!A:Y,25,FALSE)</f>
        <v>#N/A</v>
      </c>
      <c r="Q1678" s="143"/>
      <c r="T1678" s="144"/>
      <c r="U1678" s="145" t="e">
        <f>VLOOKUP(H1678,Stock_list!A:N,14,FALSE)</f>
        <v>#N/A</v>
      </c>
    </row>
    <row r="1679" spans="1:21" ht="16.5" customHeight="1">
      <c r="A1679" s="159" t="s">
        <v>265</v>
      </c>
      <c r="B1679" s="114" t="str">
        <f>VLOOKUP(A1679,'Data pick slip'!B:F,5,FALSE)</f>
        <v>KHJ-MC400-00</v>
      </c>
      <c r="F1679" s="157" t="s">
        <v>379</v>
      </c>
      <c r="H1679" s="138">
        <v>438</v>
      </c>
      <c r="I1679" s="139" t="e">
        <f>VLOOKUP(H1679,Stock_list!A:R,18,FALSE)</f>
        <v>#N/A</v>
      </c>
      <c r="J1679" s="139" t="e">
        <f>VLOOKUP(H1679,Stock_list!A:S,17,FALSE)</f>
        <v>#N/A</v>
      </c>
      <c r="K1679" s="51" t="e">
        <f>VLOOKUP(H1679,Stock_list!A:T,16,FALSE)</f>
        <v>#N/A</v>
      </c>
      <c r="L1679" s="4">
        <v>43790</v>
      </c>
      <c r="M1679" s="132">
        <v>12</v>
      </c>
      <c r="P1679" s="4" t="e">
        <f>VLOOKUP(H1679,Stock_list!A:Y,25,FALSE)</f>
        <v>#N/A</v>
      </c>
      <c r="Q1679" s="143"/>
      <c r="T1679" s="144"/>
      <c r="U1679" s="145" t="e">
        <f>VLOOKUP(H1679,Stock_list!A:N,14,FALSE)</f>
        <v>#N/A</v>
      </c>
    </row>
    <row r="1680" spans="1:21" ht="16.5" customHeight="1">
      <c r="A1680" s="159" t="s">
        <v>266</v>
      </c>
      <c r="B1680" s="114" t="str">
        <f>VLOOKUP(A1680,'Data pick slip'!B:F,5,FALSE)</f>
        <v>KHJ-MC500-00</v>
      </c>
      <c r="F1680" s="157" t="s">
        <v>379</v>
      </c>
      <c r="H1680" s="138">
        <v>438</v>
      </c>
      <c r="I1680" s="139" t="e">
        <f>VLOOKUP(H1680,Stock_list!A:R,18,FALSE)</f>
        <v>#N/A</v>
      </c>
      <c r="J1680" s="139" t="e">
        <f>VLOOKUP(H1680,Stock_list!A:S,17,FALSE)</f>
        <v>#N/A</v>
      </c>
      <c r="K1680" s="51" t="e">
        <f>VLOOKUP(H1680,Stock_list!A:T,16,FALSE)</f>
        <v>#N/A</v>
      </c>
      <c r="L1680" s="4">
        <v>43790</v>
      </c>
      <c r="M1680" s="132">
        <v>2</v>
      </c>
      <c r="P1680" s="4" t="e">
        <f>VLOOKUP(H1680,Stock_list!A:Y,25,FALSE)</f>
        <v>#N/A</v>
      </c>
      <c r="Q1680" s="143"/>
      <c r="T1680" s="144"/>
      <c r="U1680" s="145" t="e">
        <f>VLOOKUP(H1680,Stock_list!A:N,14,FALSE)</f>
        <v>#N/A</v>
      </c>
    </row>
    <row r="1681" spans="1:21" ht="16.5" customHeight="1">
      <c r="A1681" s="159" t="s">
        <v>331</v>
      </c>
      <c r="B1681" s="114" t="str">
        <f>VLOOKUP(A1681,'Data pick slip'!B:F,5,FALSE)</f>
        <v>KHJ-MC600-00</v>
      </c>
      <c r="F1681" s="157" t="s">
        <v>290</v>
      </c>
      <c r="H1681" s="138">
        <v>438</v>
      </c>
      <c r="I1681" s="139" t="e">
        <f>VLOOKUP(H1681,Stock_list!A:R,18,FALSE)</f>
        <v>#N/A</v>
      </c>
      <c r="J1681" s="139" t="e">
        <f>VLOOKUP(H1681,Stock_list!A:S,17,FALSE)</f>
        <v>#N/A</v>
      </c>
      <c r="K1681" s="51" t="e">
        <f>VLOOKUP(H1681,Stock_list!A:T,16,FALSE)</f>
        <v>#N/A</v>
      </c>
      <c r="L1681" s="4">
        <v>43790</v>
      </c>
      <c r="M1681" s="132">
        <v>1</v>
      </c>
      <c r="P1681" s="4" t="e">
        <f>VLOOKUP(H1681,Stock_list!A:Y,25,FALSE)</f>
        <v>#N/A</v>
      </c>
      <c r="Q1681" s="143"/>
      <c r="S1681" s="123" t="s">
        <v>521</v>
      </c>
      <c r="T1681" s="205" t="s">
        <v>696</v>
      </c>
      <c r="U1681" s="145" t="e">
        <f>VLOOKUP(H1681,Stock_list!A:N,14,FALSE)</f>
        <v>#N/A</v>
      </c>
    </row>
    <row r="1682" spans="1:21" ht="16.5" customHeight="1">
      <c r="A1682" s="159" t="s">
        <v>268</v>
      </c>
      <c r="B1682" s="114" t="str">
        <f>VLOOKUP(A1682,'Data pick slip'!B:F,5,FALSE)</f>
        <v>KHJ-MC700-00</v>
      </c>
      <c r="F1682" s="157" t="s">
        <v>379</v>
      </c>
      <c r="H1682" s="138">
        <v>438</v>
      </c>
      <c r="I1682" s="139" t="e">
        <f>VLOOKUP(H1682,Stock_list!A:R,18,FALSE)</f>
        <v>#N/A</v>
      </c>
      <c r="J1682" s="139" t="e">
        <f>VLOOKUP(H1682,Stock_list!A:S,17,FALSE)</f>
        <v>#N/A</v>
      </c>
      <c r="K1682" s="51" t="e">
        <f>VLOOKUP(H1682,Stock_list!A:T,16,FALSE)</f>
        <v>#N/A</v>
      </c>
      <c r="L1682" s="4">
        <v>43790</v>
      </c>
      <c r="M1682" s="132">
        <v>1</v>
      </c>
      <c r="P1682" s="4" t="e">
        <f>VLOOKUP(H1682,Stock_list!A:Y,25,FALSE)</f>
        <v>#N/A</v>
      </c>
      <c r="Q1682" s="143"/>
      <c r="T1682" s="144"/>
      <c r="U1682" s="145" t="e">
        <f>VLOOKUP(H1682,Stock_list!A:N,14,FALSE)</f>
        <v>#N/A</v>
      </c>
    </row>
    <row r="1683" spans="1:21" ht="16.5" customHeight="1">
      <c r="A1683" s="159" t="s">
        <v>261</v>
      </c>
      <c r="B1683" s="114" t="str">
        <f>VLOOKUP(A1683,'Data pick slip'!B:F,5,FALSE)</f>
        <v>KHJ-MC100-00</v>
      </c>
      <c r="F1683" s="157" t="s">
        <v>290</v>
      </c>
      <c r="H1683" s="138">
        <v>440</v>
      </c>
      <c r="I1683" s="139" t="e">
        <f>VLOOKUP(H1683,Stock_list!A:R,18,FALSE)</f>
        <v>#N/A</v>
      </c>
      <c r="J1683" s="139" t="e">
        <f>VLOOKUP(H1683,Stock_list!A:S,17,FALSE)</f>
        <v>#N/A</v>
      </c>
      <c r="K1683" s="51" t="e">
        <f>VLOOKUP(H1683,Stock_list!A:T,16,FALSE)</f>
        <v>#N/A</v>
      </c>
      <c r="L1683" s="4">
        <v>43773</v>
      </c>
      <c r="M1683" s="132">
        <v>45</v>
      </c>
      <c r="P1683" s="4" t="e">
        <f>VLOOKUP(H1683,Stock_list!A:Y,25,FALSE)</f>
        <v>#N/A</v>
      </c>
      <c r="Q1683" s="143"/>
      <c r="T1683" s="144"/>
      <c r="U1683" s="145" t="e">
        <f>VLOOKUP(H1683,Stock_list!A:N,14,FALSE)</f>
        <v>#N/A</v>
      </c>
    </row>
    <row r="1684" spans="1:21" ht="16.5" customHeight="1">
      <c r="A1684" s="159" t="s">
        <v>264</v>
      </c>
      <c r="B1684" s="114" t="str">
        <f>VLOOKUP(A1684,'Data pick slip'!B:F,5,FALSE)</f>
        <v>KHJ-MC200-00</v>
      </c>
      <c r="F1684" s="157" t="s">
        <v>290</v>
      </c>
      <c r="I1684" s="139" t="s">
        <v>611</v>
      </c>
      <c r="J1684" s="139" t="s">
        <v>697</v>
      </c>
      <c r="K1684" s="51" t="s">
        <v>225</v>
      </c>
      <c r="L1684" s="4">
        <v>43755</v>
      </c>
      <c r="M1684" s="132">
        <v>3</v>
      </c>
      <c r="P1684" s="4" t="s">
        <v>214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261</v>
      </c>
      <c r="B1685" s="114" t="str">
        <f>VLOOKUP(A1685,'Data pick slip'!B:F,5,FALSE)</f>
        <v>KHJ-MC100-00</v>
      </c>
      <c r="F1685" s="157" t="s">
        <v>379</v>
      </c>
      <c r="H1685" s="138">
        <v>454</v>
      </c>
      <c r="I1685" s="139" t="e">
        <f>VLOOKUP(H1685,Stock_list!A:R,18,FALSE)</f>
        <v>#N/A</v>
      </c>
      <c r="J1685" s="139" t="e">
        <f>VLOOKUP(H1685,Stock_list!A:S,17,FALSE)</f>
        <v>#N/A</v>
      </c>
      <c r="K1685" s="51" t="e">
        <f>VLOOKUP(H1685,Stock_list!A:T,16,FALSE)</f>
        <v>#N/A</v>
      </c>
      <c r="L1685" s="4">
        <v>43762</v>
      </c>
      <c r="M1685" s="132">
        <v>40</v>
      </c>
      <c r="P1685" s="4" t="e">
        <f>VLOOKUP(H1685,Stock_list!A:Y,25,FALSE)</f>
        <v>#N/A</v>
      </c>
      <c r="Q1685" s="146"/>
      <c r="T1685" s="144"/>
      <c r="U1685" s="145" t="e">
        <f>VLOOKUP(H1685,Stock_list!A:N,14,FALSE)</f>
        <v>#N/A</v>
      </c>
    </row>
    <row r="1686" spans="1:21" ht="16.5" customHeight="1">
      <c r="A1686" s="159" t="s">
        <v>264</v>
      </c>
      <c r="B1686" s="114" t="str">
        <f>VLOOKUP(A1686,'Data pick slip'!B:F,5,FALSE)</f>
        <v>KHJ-MC200-00</v>
      </c>
      <c r="F1686" s="157" t="s">
        <v>290</v>
      </c>
      <c r="H1686" s="138">
        <v>454</v>
      </c>
      <c r="I1686" s="139" t="e">
        <f>VLOOKUP(H1686,Stock_list!A:R,18,FALSE)</f>
        <v>#N/A</v>
      </c>
      <c r="J1686" s="139" t="e">
        <f>VLOOKUP(H1686,Stock_list!A:S,17,FALSE)</f>
        <v>#N/A</v>
      </c>
      <c r="K1686" s="51" t="e">
        <f>VLOOKUP(H1686,Stock_list!A:T,16,FALSE)</f>
        <v>#N/A</v>
      </c>
      <c r="L1686" s="4">
        <v>43762</v>
      </c>
      <c r="M1686" s="132">
        <v>2</v>
      </c>
      <c r="P1686" s="4" t="e">
        <f>VLOOKUP(H1686,Stock_list!A:Y,25,FALSE)</f>
        <v>#N/A</v>
      </c>
      <c r="Q1686" s="146"/>
      <c r="S1686" s="123" t="s">
        <v>521</v>
      </c>
      <c r="T1686" s="205" t="s">
        <v>582</v>
      </c>
      <c r="U1686" s="145" t="e">
        <f>VLOOKUP(H1686,Stock_list!A:N,14,FALSE)</f>
        <v>#N/A</v>
      </c>
    </row>
    <row r="1687" spans="1:21" ht="16.5" customHeight="1">
      <c r="A1687" s="159" t="s">
        <v>261</v>
      </c>
      <c r="B1687" s="114" t="str">
        <f>VLOOKUP(A1687,'Data pick slip'!B:F,5,FALSE)</f>
        <v>KHJ-MC100-00</v>
      </c>
      <c r="F1687" s="157" t="s">
        <v>290</v>
      </c>
      <c r="H1687" s="138">
        <v>456</v>
      </c>
      <c r="I1687" s="139" t="e">
        <f>VLOOKUP(H1687,Stock_list!A:R,18,FALSE)</f>
        <v>#N/A</v>
      </c>
      <c r="J1687" s="139" t="e">
        <f>VLOOKUP(H1687,Stock_list!A:S,17,FALSE)</f>
        <v>#N/A</v>
      </c>
      <c r="K1687" s="51" t="e">
        <f>VLOOKUP(H1687,Stock_list!A:T,16,FALSE)</f>
        <v>#N/A</v>
      </c>
      <c r="L1687" s="4">
        <v>43776</v>
      </c>
      <c r="M1687" s="132">
        <v>30</v>
      </c>
      <c r="P1687" s="4" t="e">
        <f>VLOOKUP(H1687,Stock_list!A:Y,25,FALSE)</f>
        <v>#N/A</v>
      </c>
      <c r="Q1687" s="143"/>
      <c r="T1687" s="144"/>
      <c r="U1687" s="145" t="e">
        <f>VLOOKUP(H1687,Stock_list!A:N,14,FALSE)</f>
        <v>#N/A</v>
      </c>
    </row>
    <row r="1688" spans="1:21" ht="16.5" customHeight="1">
      <c r="A1688" s="159" t="s">
        <v>264</v>
      </c>
      <c r="B1688" s="114" t="str">
        <f>VLOOKUP(A1688,'Data pick slip'!B:F,5,FALSE)</f>
        <v>KHJ-MC200-00</v>
      </c>
      <c r="F1688" s="157" t="s">
        <v>290</v>
      </c>
      <c r="H1688" s="138">
        <v>456</v>
      </c>
      <c r="I1688" s="139" t="e">
        <f>VLOOKUP(H1688,Stock_list!A:R,18,FALSE)</f>
        <v>#N/A</v>
      </c>
      <c r="J1688" s="139" t="e">
        <f>VLOOKUP(H1688,Stock_list!A:S,17,FALSE)</f>
        <v>#N/A</v>
      </c>
      <c r="K1688" s="51" t="e">
        <f>VLOOKUP(H1688,Stock_list!A:T,16,FALSE)</f>
        <v>#N/A</v>
      </c>
      <c r="L1688" s="4">
        <v>43776</v>
      </c>
      <c r="M1688" s="132">
        <v>8</v>
      </c>
      <c r="P1688" s="4" t="e">
        <f>VLOOKUP(H1688,Stock_list!A:Y,25,FALSE)</f>
        <v>#N/A</v>
      </c>
      <c r="Q1688" s="143"/>
      <c r="T1688" s="144"/>
      <c r="U1688" s="145" t="e">
        <f>VLOOKUP(H1688,Stock_list!A:N,14,FALSE)</f>
        <v>#N/A</v>
      </c>
    </row>
    <row r="1689" spans="1:21" ht="16.5" customHeight="1">
      <c r="A1689" s="159" t="s">
        <v>265</v>
      </c>
      <c r="B1689" s="114" t="str">
        <f>VLOOKUP(A1689,'Data pick slip'!B:F,5,FALSE)</f>
        <v>KHJ-MC400-00</v>
      </c>
      <c r="F1689" s="157" t="s">
        <v>290</v>
      </c>
      <c r="H1689" s="138">
        <v>456</v>
      </c>
      <c r="I1689" s="139" t="e">
        <f>VLOOKUP(H1689,Stock_list!A:R,18,FALSE)</f>
        <v>#N/A</v>
      </c>
      <c r="J1689" s="139" t="e">
        <f>VLOOKUP(H1689,Stock_list!A:S,17,FALSE)</f>
        <v>#N/A</v>
      </c>
      <c r="K1689" s="51" t="e">
        <f>VLOOKUP(H1689,Stock_list!A:T,16,FALSE)</f>
        <v>#N/A</v>
      </c>
      <c r="L1689" s="4">
        <v>43776</v>
      </c>
      <c r="M1689" s="132">
        <v>2</v>
      </c>
      <c r="P1689" s="4" t="e">
        <f>VLOOKUP(H1689,Stock_list!A:Y,25,FALSE)</f>
        <v>#N/A</v>
      </c>
      <c r="Q1689" s="143"/>
      <c r="T1689" s="144"/>
      <c r="U1689" s="145" t="e">
        <f>VLOOKUP(H1689,Stock_list!A:N,14,FALSE)</f>
        <v>#N/A</v>
      </c>
    </row>
    <row r="1690" spans="1:21" ht="16.5" customHeight="1">
      <c r="A1690" s="159" t="s">
        <v>264</v>
      </c>
      <c r="B1690" s="114" t="str">
        <f>VLOOKUP(A1690,'Data pick slip'!B:F,5,FALSE)</f>
        <v>KHJ-MC200-00</v>
      </c>
      <c r="F1690" s="157" t="s">
        <v>379</v>
      </c>
      <c r="I1690" s="139" t="s">
        <v>533</v>
      </c>
      <c r="J1690" s="139" t="s">
        <v>698</v>
      </c>
      <c r="K1690" s="51" t="s">
        <v>225</v>
      </c>
      <c r="L1690" s="4">
        <v>43756</v>
      </c>
      <c r="M1690" s="140">
        <v>120</v>
      </c>
      <c r="P1690" s="4" t="s">
        <v>214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264</v>
      </c>
      <c r="B1691" s="114" t="str">
        <f>VLOOKUP(A1691,'Data pick slip'!B:F,5,FALSE)</f>
        <v>KHJ-MC200-00</v>
      </c>
      <c r="F1691" s="157" t="s">
        <v>290</v>
      </c>
      <c r="I1691" s="139" t="s">
        <v>611</v>
      </c>
      <c r="J1691" s="139" t="s">
        <v>699</v>
      </c>
      <c r="K1691" s="51" t="s">
        <v>225</v>
      </c>
      <c r="L1691" s="4">
        <v>43759</v>
      </c>
      <c r="M1691" s="140">
        <v>7</v>
      </c>
      <c r="P1691" s="4" t="s">
        <v>214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265</v>
      </c>
      <c r="B1692" s="114" t="str">
        <f>VLOOKUP(A1692,'Data pick slip'!B:F,5,FALSE)</f>
        <v>KHJ-MC400-00</v>
      </c>
      <c r="F1692" s="157" t="s">
        <v>290</v>
      </c>
      <c r="I1692" s="139" t="s">
        <v>611</v>
      </c>
      <c r="J1692" s="139" t="s">
        <v>699</v>
      </c>
      <c r="K1692" s="51" t="s">
        <v>225</v>
      </c>
      <c r="L1692" s="4">
        <v>43759</v>
      </c>
      <c r="M1692" s="140">
        <v>1</v>
      </c>
      <c r="P1692" s="4" t="s">
        <v>214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261</v>
      </c>
      <c r="B1693" s="114" t="str">
        <f>VLOOKUP(A1693,'Data pick slip'!B:F,5,FALSE)</f>
        <v>KHJ-MC100-00</v>
      </c>
      <c r="F1693" s="157" t="s">
        <v>290</v>
      </c>
      <c r="I1693" s="139" t="s">
        <v>611</v>
      </c>
      <c r="J1693" s="139" t="s">
        <v>700</v>
      </c>
      <c r="K1693" s="51" t="s">
        <v>225</v>
      </c>
      <c r="L1693" s="4">
        <v>43761</v>
      </c>
      <c r="M1693" s="140">
        <v>20</v>
      </c>
      <c r="P1693" s="4" t="s">
        <v>214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264</v>
      </c>
      <c r="B1694" s="114" t="str">
        <f>VLOOKUP(A1694,'Data pick slip'!B:F,5,FALSE)</f>
        <v>KHJ-MC200-00</v>
      </c>
      <c r="F1694" s="157" t="s">
        <v>290</v>
      </c>
      <c r="I1694" s="139" t="s">
        <v>611</v>
      </c>
      <c r="J1694" s="139" t="s">
        <v>700</v>
      </c>
      <c r="K1694" s="51" t="s">
        <v>225</v>
      </c>
      <c r="L1694" s="4">
        <v>43761</v>
      </c>
      <c r="M1694" s="140">
        <v>5</v>
      </c>
      <c r="P1694" s="4" t="s">
        <v>214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261</v>
      </c>
      <c r="B1695" s="114" t="str">
        <f>VLOOKUP(A1695,'Data pick slip'!B:F,5,FALSE)</f>
        <v>KHJ-MC100-00</v>
      </c>
      <c r="F1695" s="157" t="s">
        <v>290</v>
      </c>
      <c r="I1695" s="139" t="s">
        <v>611</v>
      </c>
      <c r="J1695" s="139" t="s">
        <v>701</v>
      </c>
      <c r="K1695" s="51" t="s">
        <v>225</v>
      </c>
      <c r="L1695" s="4">
        <v>43769</v>
      </c>
      <c r="M1695" s="140">
        <v>30</v>
      </c>
      <c r="P1695" s="4" t="s">
        <v>214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261</v>
      </c>
      <c r="B1696" s="114" t="str">
        <f>VLOOKUP(A1696,'Data pick slip'!B:F,5,FALSE)</f>
        <v>KHJ-MC100-00</v>
      </c>
      <c r="F1696" s="157" t="s">
        <v>290</v>
      </c>
      <c r="H1696" s="138">
        <v>463</v>
      </c>
      <c r="I1696" s="139" t="e">
        <f>VLOOKUP(H1696,Stock_list!A:R,18,FALSE)</f>
        <v>#N/A</v>
      </c>
      <c r="J1696" s="139" t="e">
        <f>VLOOKUP(H1696,Stock_list!A:S,17,FALSE)</f>
        <v>#N/A</v>
      </c>
      <c r="K1696" s="51" t="e">
        <f>VLOOKUP(H1696,Stock_list!A:T,16,FALSE)</f>
        <v>#N/A</v>
      </c>
      <c r="L1696" s="4">
        <v>43775</v>
      </c>
      <c r="M1696" s="132">
        <v>40</v>
      </c>
      <c r="P1696" s="4" t="e">
        <f>VLOOKUP(H1696,Stock_list!A:Y,25,FALSE)</f>
        <v>#N/A</v>
      </c>
      <c r="Q1696" s="143"/>
      <c r="T1696" s="144"/>
      <c r="U1696" s="145" t="e">
        <f>VLOOKUP(H1696,Stock_list!A:N,14,FALSE)</f>
        <v>#N/A</v>
      </c>
    </row>
    <row r="1697" spans="1:21" ht="16.5" customHeight="1">
      <c r="A1697" s="159" t="s">
        <v>265</v>
      </c>
      <c r="B1697" s="114" t="str">
        <f>VLOOKUP(A1697,'Data pick slip'!B:F,5,FALSE)</f>
        <v>KHJ-MC400-00</v>
      </c>
      <c r="F1697" s="157" t="s">
        <v>290</v>
      </c>
      <c r="I1697" s="139" t="s">
        <v>633</v>
      </c>
      <c r="J1697" s="139" t="s">
        <v>702</v>
      </c>
      <c r="K1697" s="51" t="s">
        <v>225</v>
      </c>
      <c r="L1697" s="4">
        <v>43763</v>
      </c>
      <c r="M1697" s="140">
        <v>2</v>
      </c>
      <c r="P1697" s="4" t="s">
        <v>214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266</v>
      </c>
      <c r="B1698" s="114" t="str">
        <f>VLOOKUP(A1698,'Data pick slip'!B:F,5,FALSE)</f>
        <v>KHJ-MC500-00</v>
      </c>
      <c r="F1698" s="157" t="s">
        <v>290</v>
      </c>
      <c r="I1698" s="139" t="s">
        <v>633</v>
      </c>
      <c r="J1698" s="139" t="s">
        <v>702</v>
      </c>
      <c r="K1698" s="51" t="s">
        <v>225</v>
      </c>
      <c r="L1698" s="4">
        <v>43763</v>
      </c>
      <c r="M1698" s="140">
        <v>1</v>
      </c>
      <c r="P1698" s="4" t="s">
        <v>214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267</v>
      </c>
      <c r="B1699" s="114" t="str">
        <f>VLOOKUP(A1699,'Data pick slip'!B:F,5,FALSE)</f>
        <v>KHJ-MC600-00</v>
      </c>
      <c r="F1699" s="157" t="s">
        <v>290</v>
      </c>
      <c r="I1699" s="139" t="s">
        <v>633</v>
      </c>
      <c r="J1699" s="139" t="s">
        <v>703</v>
      </c>
      <c r="K1699" s="51" t="s">
        <v>225</v>
      </c>
      <c r="L1699" s="4">
        <v>43763</v>
      </c>
      <c r="M1699" s="140">
        <v>1</v>
      </c>
      <c r="P1699" s="4" t="s">
        <v>214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267</v>
      </c>
      <c r="B1700" s="114" t="str">
        <f>VLOOKUP(A1700,'Data pick slip'!B:F,5,FALSE)</f>
        <v>KHJ-MC600-00</v>
      </c>
      <c r="F1700" s="157" t="s">
        <v>290</v>
      </c>
      <c r="I1700" s="139" t="s">
        <v>617</v>
      </c>
      <c r="J1700" s="139" t="s">
        <v>704</v>
      </c>
      <c r="K1700" s="51" t="s">
        <v>225</v>
      </c>
      <c r="L1700" s="4">
        <v>43763</v>
      </c>
      <c r="M1700" s="140">
        <v>1</v>
      </c>
      <c r="P1700" s="4" t="s">
        <v>214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267</v>
      </c>
      <c r="B1701" s="114" t="str">
        <f>VLOOKUP(A1701,'Data pick slip'!B:F,5,FALSE)</f>
        <v>KHJ-MC600-00</v>
      </c>
      <c r="F1701" s="157" t="s">
        <v>290</v>
      </c>
      <c r="I1701" s="139" t="s">
        <v>611</v>
      </c>
      <c r="J1701" s="139" t="s">
        <v>705</v>
      </c>
      <c r="K1701" s="51" t="s">
        <v>225</v>
      </c>
      <c r="L1701" s="4">
        <v>43766</v>
      </c>
      <c r="M1701" s="140">
        <v>2</v>
      </c>
      <c r="P1701" s="4" t="s">
        <v>214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264</v>
      </c>
      <c r="B1702" s="114" t="str">
        <f>VLOOKUP(A1702,'Data pick slip'!B:F,5,FALSE)</f>
        <v>KHJ-MC200-00</v>
      </c>
      <c r="F1702" s="157" t="s">
        <v>379</v>
      </c>
      <c r="I1702" s="139" t="s">
        <v>533</v>
      </c>
      <c r="J1702" s="139" t="s">
        <v>706</v>
      </c>
      <c r="K1702" s="51" t="s">
        <v>225</v>
      </c>
      <c r="L1702" s="4">
        <v>43768</v>
      </c>
      <c r="M1702" s="140">
        <v>40</v>
      </c>
      <c r="P1702" s="4" t="s">
        <v>214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261</v>
      </c>
      <c r="B1703" s="114" t="str">
        <f>VLOOKUP(A1703,'Data pick slip'!B:F,5,FALSE)</f>
        <v>KHJ-MC100-00</v>
      </c>
      <c r="F1703" s="157" t="s">
        <v>379</v>
      </c>
      <c r="H1703" s="138">
        <v>464</v>
      </c>
      <c r="I1703" s="139" t="e">
        <f>VLOOKUP(H1703,Stock_list!A:R,18,FALSE)</f>
        <v>#N/A</v>
      </c>
      <c r="J1703" s="139" t="e">
        <f>VLOOKUP(H1703,Stock_list!A:S,17,FALSE)</f>
        <v>#N/A</v>
      </c>
      <c r="K1703" s="51" t="e">
        <f>VLOOKUP(H1703,Stock_list!A:T,16,FALSE)</f>
        <v>#N/A</v>
      </c>
      <c r="L1703" s="4">
        <v>43784</v>
      </c>
      <c r="M1703" s="132">
        <v>60</v>
      </c>
      <c r="P1703" s="4" t="e">
        <f>VLOOKUP(H1703,Stock_list!A:Y,25,FALSE)</f>
        <v>#N/A</v>
      </c>
      <c r="Q1703" s="143"/>
      <c r="T1703" s="144"/>
      <c r="U1703" s="145" t="e">
        <f>VLOOKUP(H1703,Stock_list!A:N,14,FALSE)</f>
        <v>#N/A</v>
      </c>
    </row>
    <row r="1704" spans="1:21" ht="16.5" customHeight="1">
      <c r="A1704" s="159" t="s">
        <v>264</v>
      </c>
      <c r="B1704" s="114" t="str">
        <f>VLOOKUP(A1704,'Data pick slip'!B:F,5,FALSE)</f>
        <v>KHJ-MC200-00</v>
      </c>
      <c r="F1704" s="157" t="s">
        <v>379</v>
      </c>
      <c r="H1704" s="138">
        <v>464</v>
      </c>
      <c r="I1704" s="139" t="e">
        <f>VLOOKUP(H1704,Stock_list!A:R,18,FALSE)</f>
        <v>#N/A</v>
      </c>
      <c r="J1704" s="139" t="e">
        <f>VLOOKUP(H1704,Stock_list!A:S,17,FALSE)</f>
        <v>#N/A</v>
      </c>
      <c r="K1704" s="51" t="e">
        <f>VLOOKUP(H1704,Stock_list!A:T,16,FALSE)</f>
        <v>#N/A</v>
      </c>
      <c r="L1704" s="4">
        <v>43784</v>
      </c>
      <c r="M1704" s="132">
        <v>10</v>
      </c>
      <c r="P1704" s="4" t="e">
        <f>VLOOKUP(H1704,Stock_list!A:Y,25,FALSE)</f>
        <v>#N/A</v>
      </c>
      <c r="Q1704" s="143"/>
      <c r="T1704" s="144"/>
      <c r="U1704" s="145" t="e">
        <f>VLOOKUP(H1704,Stock_list!A:N,14,FALSE)</f>
        <v>#N/A</v>
      </c>
    </row>
    <row r="1705" spans="1:21" ht="16.5" customHeight="1">
      <c r="A1705" s="159" t="s">
        <v>265</v>
      </c>
      <c r="B1705" s="114" t="str">
        <f>VLOOKUP(A1705,'Data pick slip'!B:F,5,FALSE)</f>
        <v>KHJ-MC400-00</v>
      </c>
      <c r="F1705" s="157" t="s">
        <v>379</v>
      </c>
      <c r="H1705" s="138">
        <v>464</v>
      </c>
      <c r="I1705" s="139" t="e">
        <f>VLOOKUP(H1705,Stock_list!A:R,18,FALSE)</f>
        <v>#N/A</v>
      </c>
      <c r="J1705" s="139" t="e">
        <f>VLOOKUP(H1705,Stock_list!A:S,17,FALSE)</f>
        <v>#N/A</v>
      </c>
      <c r="K1705" s="51" t="e">
        <f>VLOOKUP(H1705,Stock_list!A:T,16,FALSE)</f>
        <v>#N/A</v>
      </c>
      <c r="L1705" s="4">
        <v>43784</v>
      </c>
      <c r="M1705" s="132">
        <v>2</v>
      </c>
      <c r="P1705" s="4" t="e">
        <f>VLOOKUP(H1705,Stock_list!A:Y,25,FALSE)</f>
        <v>#N/A</v>
      </c>
      <c r="Q1705" s="143"/>
      <c r="T1705" s="144"/>
      <c r="U1705" s="145" t="e">
        <f>VLOOKUP(H1705,Stock_list!A:N,14,FALSE)</f>
        <v>#N/A</v>
      </c>
    </row>
    <row r="1706" spans="1:21" ht="16.5" customHeight="1">
      <c r="A1706" s="159" t="s">
        <v>261</v>
      </c>
      <c r="B1706" s="114" t="str">
        <f>VLOOKUP(A1706,'Data pick slip'!B:F,5,FALSE)</f>
        <v>KHJ-MC100-00</v>
      </c>
      <c r="F1706" s="157" t="s">
        <v>379</v>
      </c>
      <c r="I1706" s="139" t="s">
        <v>533</v>
      </c>
      <c r="J1706" s="139" t="s">
        <v>707</v>
      </c>
      <c r="K1706" s="51" t="s">
        <v>225</v>
      </c>
      <c r="L1706" s="4">
        <v>43775</v>
      </c>
      <c r="M1706" s="140">
        <v>100</v>
      </c>
      <c r="P1706" s="4" t="s">
        <v>214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264</v>
      </c>
      <c r="B1707" s="114" t="str">
        <f>VLOOKUP(A1707,'Data pick slip'!B:F,5,FALSE)</f>
        <v>KHJ-MC200-00</v>
      </c>
      <c r="F1707" s="157" t="s">
        <v>379</v>
      </c>
      <c r="I1707" s="139" t="s">
        <v>533</v>
      </c>
      <c r="J1707" s="139" t="s">
        <v>707</v>
      </c>
      <c r="K1707" s="51" t="s">
        <v>225</v>
      </c>
      <c r="L1707" s="4">
        <v>43775</v>
      </c>
      <c r="M1707" s="140">
        <v>20</v>
      </c>
      <c r="P1707" s="4" t="s">
        <v>214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264</v>
      </c>
      <c r="B1708" s="114" t="str">
        <f>VLOOKUP(A1708,'Data pick slip'!B:F,5,FALSE)</f>
        <v>KHJ-MC200-00</v>
      </c>
      <c r="F1708" s="157" t="s">
        <v>290</v>
      </c>
      <c r="I1708" s="139" t="s">
        <v>611</v>
      </c>
      <c r="J1708" s="139" t="s">
        <v>708</v>
      </c>
      <c r="K1708" s="51" t="s">
        <v>225</v>
      </c>
      <c r="L1708" s="4">
        <v>43774</v>
      </c>
      <c r="M1708" s="140">
        <v>10</v>
      </c>
      <c r="P1708" s="4" t="s">
        <v>214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261</v>
      </c>
      <c r="B1709" s="114" t="str">
        <f>VLOOKUP(A1709,'Data pick slip'!B:F,5,FALSE)</f>
        <v>KHJ-MC100-00</v>
      </c>
      <c r="F1709" s="157" t="s">
        <v>379</v>
      </c>
      <c r="H1709" s="138">
        <v>468</v>
      </c>
      <c r="I1709" s="139" t="e">
        <f>VLOOKUP(H1709,Stock_list!A:R,18,FALSE)</f>
        <v>#N/A</v>
      </c>
      <c r="J1709" s="139" t="e">
        <f>VLOOKUP(H1709,Stock_list!A:S,17,FALSE)</f>
        <v>#N/A</v>
      </c>
      <c r="K1709" s="51" t="e">
        <f>VLOOKUP(H1709,Stock_list!A:T,16,FALSE)</f>
        <v>#N/A</v>
      </c>
      <c r="L1709" s="4">
        <v>43794</v>
      </c>
      <c r="M1709" s="132">
        <v>15</v>
      </c>
      <c r="P1709" s="4" t="e">
        <f>VLOOKUP(H1709,Stock_list!A:Y,25,FALSE)</f>
        <v>#N/A</v>
      </c>
      <c r="Q1709" s="143"/>
      <c r="T1709" s="144"/>
      <c r="U1709" s="145" t="e">
        <f>VLOOKUP(H1709,Stock_list!A:N,14,FALSE)</f>
        <v>#N/A</v>
      </c>
    </row>
    <row r="1710" spans="1:21" ht="16.5" customHeight="1">
      <c r="A1710" s="159" t="s">
        <v>264</v>
      </c>
      <c r="B1710" s="114" t="str">
        <f>VLOOKUP(A1710,'Data pick slip'!B:F,5,FALSE)</f>
        <v>KHJ-MC200-00</v>
      </c>
      <c r="F1710" s="157" t="s">
        <v>379</v>
      </c>
      <c r="H1710" s="138">
        <v>469</v>
      </c>
      <c r="I1710" s="139" t="e">
        <f>VLOOKUP(H1710,Stock_list!A:R,18,FALSE)</f>
        <v>#N/A</v>
      </c>
      <c r="J1710" s="139" t="e">
        <f>VLOOKUP(H1710,Stock_list!A:S,17,FALSE)</f>
        <v>#N/A</v>
      </c>
      <c r="K1710" s="51" t="e">
        <f>VLOOKUP(H1710,Stock_list!A:T,16,FALSE)</f>
        <v>#N/A</v>
      </c>
      <c r="L1710" s="4">
        <v>43784</v>
      </c>
      <c r="M1710" s="132">
        <v>5</v>
      </c>
      <c r="P1710" s="4" t="e">
        <f>VLOOKUP(H1710,Stock_list!A:Y,25,FALSE)</f>
        <v>#N/A</v>
      </c>
      <c r="Q1710" s="143"/>
      <c r="T1710" s="144"/>
      <c r="U1710" s="145" t="e">
        <f>VLOOKUP(H1710,Stock_list!A:N,14,FALSE)</f>
        <v>#N/A</v>
      </c>
    </row>
    <row r="1711" spans="1:21" ht="16.5" customHeight="1">
      <c r="A1711" s="159" t="s">
        <v>265</v>
      </c>
      <c r="B1711" s="114" t="str">
        <f>VLOOKUP(A1711,'Data pick slip'!B:F,5,FALSE)</f>
        <v>KHJ-MC400-00</v>
      </c>
      <c r="F1711" s="157" t="s">
        <v>379</v>
      </c>
      <c r="H1711" s="138">
        <v>469</v>
      </c>
      <c r="I1711" s="139" t="e">
        <f>VLOOKUP(H1711,Stock_list!A:R,18,FALSE)</f>
        <v>#N/A</v>
      </c>
      <c r="J1711" s="139" t="e">
        <f>VLOOKUP(H1711,Stock_list!A:S,17,FALSE)</f>
        <v>#N/A</v>
      </c>
      <c r="K1711" s="51" t="e">
        <f>VLOOKUP(H1711,Stock_list!A:T,16,FALSE)</f>
        <v>#N/A</v>
      </c>
      <c r="L1711" s="4">
        <v>43784</v>
      </c>
      <c r="M1711" s="132">
        <v>2</v>
      </c>
      <c r="P1711" s="4" t="e">
        <f>VLOOKUP(H1711,Stock_list!A:Y,25,FALSE)</f>
        <v>#N/A</v>
      </c>
      <c r="Q1711" s="143"/>
      <c r="T1711" s="144"/>
      <c r="U1711" s="145" t="e">
        <f>VLOOKUP(H1711,Stock_list!A:N,14,FALSE)</f>
        <v>#N/A</v>
      </c>
    </row>
    <row r="1712" spans="1:21" ht="16.5" customHeight="1">
      <c r="A1712" s="159" t="s">
        <v>261</v>
      </c>
      <c r="B1712" s="114" t="str">
        <f>VLOOKUP(A1712,'Data pick slip'!B:F,5,FALSE)</f>
        <v>KHJ-MC100-00</v>
      </c>
      <c r="F1712" s="157" t="s">
        <v>290</v>
      </c>
      <c r="H1712" s="138">
        <v>470</v>
      </c>
      <c r="I1712" s="139" t="e">
        <f>VLOOKUP(H1712,Stock_list!A:R,18,FALSE)</f>
        <v>#N/A</v>
      </c>
      <c r="J1712" s="139" t="e">
        <f>VLOOKUP(H1712,Stock_list!A:S,17,FALSE)</f>
        <v>#N/A</v>
      </c>
      <c r="K1712" s="51" t="e">
        <f>VLOOKUP(H1712,Stock_list!A:T,16,FALSE)</f>
        <v>#N/A</v>
      </c>
      <c r="L1712" s="4">
        <v>43938</v>
      </c>
      <c r="M1712" s="132">
        <v>91</v>
      </c>
      <c r="P1712" s="4" t="e">
        <f>VLOOKUP(H1712,Stock_list!A:Y,25,FALSE)</f>
        <v>#N/A</v>
      </c>
      <c r="Q1712" s="143"/>
      <c r="T1712" s="144"/>
      <c r="U1712" s="145" t="e">
        <f>VLOOKUP(H1712,Stock_list!A:N,14,FALSE)</f>
        <v>#N/A</v>
      </c>
    </row>
    <row r="1713" spans="1:21" ht="16.5" customHeight="1">
      <c r="A1713" s="159" t="s">
        <v>264</v>
      </c>
      <c r="B1713" s="114" t="str">
        <f>VLOOKUP(A1713,'Data pick slip'!B:F,5,FALSE)</f>
        <v>KHJ-MC200-00</v>
      </c>
      <c r="F1713" s="157" t="s">
        <v>290</v>
      </c>
      <c r="H1713" s="138">
        <v>470</v>
      </c>
      <c r="I1713" s="139" t="e">
        <f>VLOOKUP(H1713,Stock_list!A:R,18,FALSE)</f>
        <v>#N/A</v>
      </c>
      <c r="J1713" s="139" t="e">
        <f>VLOOKUP(H1713,Stock_list!A:S,17,FALSE)</f>
        <v>#N/A</v>
      </c>
      <c r="K1713" s="51" t="e">
        <f>VLOOKUP(H1713,Stock_list!A:T,16,FALSE)</f>
        <v>#N/A</v>
      </c>
      <c r="L1713" s="4">
        <v>43938</v>
      </c>
      <c r="M1713" s="132">
        <v>18</v>
      </c>
      <c r="P1713" s="4" t="e">
        <f>VLOOKUP(H1713,Stock_list!A:Y,25,FALSE)</f>
        <v>#N/A</v>
      </c>
      <c r="Q1713" s="143"/>
      <c r="T1713" s="144"/>
      <c r="U1713" s="145" t="e">
        <f>VLOOKUP(H1713,Stock_list!A:N,14,FALSE)</f>
        <v>#N/A</v>
      </c>
    </row>
    <row r="1714" spans="1:21" ht="16.5" customHeight="1">
      <c r="A1714" s="159" t="s">
        <v>265</v>
      </c>
      <c r="B1714" s="114" t="str">
        <f>VLOOKUP(A1714,'Data pick slip'!B:F,5,FALSE)</f>
        <v>KHJ-MC400-00</v>
      </c>
      <c r="F1714" s="157" t="s">
        <v>290</v>
      </c>
      <c r="H1714" s="138">
        <v>470</v>
      </c>
      <c r="I1714" s="139" t="e">
        <f>VLOOKUP(H1714,Stock_list!A:R,18,FALSE)</f>
        <v>#N/A</v>
      </c>
      <c r="J1714" s="139" t="e">
        <f>VLOOKUP(H1714,Stock_list!A:S,17,FALSE)</f>
        <v>#N/A</v>
      </c>
      <c r="K1714" s="51" t="e">
        <f>VLOOKUP(H1714,Stock_list!A:T,16,FALSE)</f>
        <v>#N/A</v>
      </c>
      <c r="L1714" s="4">
        <v>43938</v>
      </c>
      <c r="M1714" s="132">
        <v>14</v>
      </c>
      <c r="P1714" s="4" t="e">
        <f>VLOOKUP(H1714,Stock_list!A:Y,25,FALSE)</f>
        <v>#N/A</v>
      </c>
      <c r="Q1714" s="143"/>
      <c r="T1714" s="144"/>
      <c r="U1714" s="145" t="e">
        <f>VLOOKUP(H1714,Stock_list!A:N,14,FALSE)</f>
        <v>#N/A</v>
      </c>
    </row>
    <row r="1715" spans="1:21" ht="16.5" customHeight="1">
      <c r="A1715" s="159" t="s">
        <v>266</v>
      </c>
      <c r="B1715" s="114" t="str">
        <f>VLOOKUP(A1715,'Data pick slip'!B:F,5,FALSE)</f>
        <v>KHJ-MC500-00</v>
      </c>
      <c r="F1715" s="157" t="s">
        <v>290</v>
      </c>
      <c r="H1715" s="138">
        <v>470</v>
      </c>
      <c r="I1715" s="139" t="e">
        <f>VLOOKUP(H1715,Stock_list!A:R,18,FALSE)</f>
        <v>#N/A</v>
      </c>
      <c r="J1715" s="139" t="e">
        <f>VLOOKUP(H1715,Stock_list!A:S,17,FALSE)</f>
        <v>#N/A</v>
      </c>
      <c r="K1715" s="51" t="e">
        <f>VLOOKUP(H1715,Stock_list!A:T,16,FALSE)</f>
        <v>#N/A</v>
      </c>
      <c r="L1715" s="4">
        <v>43938</v>
      </c>
      <c r="M1715" s="132">
        <v>2</v>
      </c>
      <c r="P1715" s="4" t="e">
        <f>VLOOKUP(H1715,Stock_list!A:Y,25,FALSE)</f>
        <v>#N/A</v>
      </c>
      <c r="Q1715" s="143"/>
      <c r="T1715" s="144"/>
      <c r="U1715" s="145" t="e">
        <f>VLOOKUP(H1715,Stock_list!A:N,14,FALSE)</f>
        <v>#N/A</v>
      </c>
    </row>
    <row r="1716" spans="1:21" ht="16.5" customHeight="1">
      <c r="A1716" s="159" t="s">
        <v>267</v>
      </c>
      <c r="B1716" s="114" t="str">
        <f>VLOOKUP(A1716,'Data pick slip'!B:F,5,FALSE)</f>
        <v>KHJ-MC600-00</v>
      </c>
      <c r="F1716" s="157" t="s">
        <v>290</v>
      </c>
      <c r="H1716" s="138">
        <v>470</v>
      </c>
      <c r="I1716" s="139" t="e">
        <f>VLOOKUP(H1716,Stock_list!A:R,18,FALSE)</f>
        <v>#N/A</v>
      </c>
      <c r="J1716" s="139" t="e">
        <f>VLOOKUP(H1716,Stock_list!A:S,17,FALSE)</f>
        <v>#N/A</v>
      </c>
      <c r="K1716" s="51" t="e">
        <f>VLOOKUP(H1716,Stock_list!A:T,16,FALSE)</f>
        <v>#N/A</v>
      </c>
      <c r="L1716" s="4">
        <v>43938</v>
      </c>
      <c r="M1716" s="132">
        <v>2</v>
      </c>
      <c r="P1716" s="4" t="e">
        <f>VLOOKUP(H1716,Stock_list!A:Y,25,FALSE)</f>
        <v>#N/A</v>
      </c>
      <c r="Q1716" s="143"/>
      <c r="T1716" s="144"/>
      <c r="U1716" s="145" t="e">
        <f>VLOOKUP(H1716,Stock_list!A:N,14,FALSE)</f>
        <v>#N/A</v>
      </c>
    </row>
    <row r="1717" spans="1:21" ht="16.5" customHeight="1">
      <c r="A1717" s="159" t="s">
        <v>261</v>
      </c>
      <c r="B1717" s="114" t="str">
        <f>VLOOKUP(A1717,'Data pick slip'!B:F,5,FALSE)</f>
        <v>KHJ-MC100-00</v>
      </c>
      <c r="F1717" s="157" t="s">
        <v>379</v>
      </c>
      <c r="H1717" s="138">
        <v>474</v>
      </c>
      <c r="I1717" s="139" t="e">
        <f>VLOOKUP(H1717,Stock_list!A:R,18,FALSE)</f>
        <v>#N/A</v>
      </c>
      <c r="J1717" s="139" t="e">
        <f>VLOOKUP(H1717,Stock_list!A:S,17,FALSE)</f>
        <v>#N/A</v>
      </c>
      <c r="K1717" s="51" t="e">
        <f>VLOOKUP(H1717,Stock_list!A:T,16,FALSE)</f>
        <v>#N/A</v>
      </c>
      <c r="L1717" s="4">
        <v>43823</v>
      </c>
      <c r="M1717" s="132">
        <v>100</v>
      </c>
      <c r="P1717" s="4" t="e">
        <f>VLOOKUP(H1717,Stock_list!A:Y,25,FALSE)</f>
        <v>#N/A</v>
      </c>
      <c r="Q1717" s="143"/>
      <c r="T1717" s="144"/>
      <c r="U1717" s="145" t="e">
        <f>VLOOKUP(H1717,Stock_list!A:N,14,FALSE)</f>
        <v>#N/A</v>
      </c>
    </row>
    <row r="1718" spans="1:21" ht="16.5" customHeight="1">
      <c r="A1718" s="159" t="s">
        <v>264</v>
      </c>
      <c r="B1718" s="114" t="str">
        <f>VLOOKUP(A1718,'Data pick slip'!B:F,5,FALSE)</f>
        <v>KHJ-MC200-00</v>
      </c>
      <c r="F1718" s="157" t="s">
        <v>379</v>
      </c>
      <c r="H1718" s="138">
        <v>474</v>
      </c>
      <c r="I1718" s="139" t="e">
        <f>VLOOKUP(H1718,Stock_list!A:R,18,FALSE)</f>
        <v>#N/A</v>
      </c>
      <c r="J1718" s="139" t="e">
        <f>VLOOKUP(H1718,Stock_list!A:S,17,FALSE)</f>
        <v>#N/A</v>
      </c>
      <c r="K1718" s="51" t="e">
        <f>VLOOKUP(H1718,Stock_list!A:T,16,FALSE)</f>
        <v>#N/A</v>
      </c>
      <c r="L1718" s="4">
        <v>43823</v>
      </c>
      <c r="M1718" s="132">
        <v>15</v>
      </c>
      <c r="P1718" s="4" t="e">
        <f>VLOOKUP(H1718,Stock_list!A:Y,25,FALSE)</f>
        <v>#N/A</v>
      </c>
      <c r="Q1718" s="143"/>
      <c r="T1718" s="144"/>
      <c r="U1718" s="145" t="e">
        <f>VLOOKUP(H1718,Stock_list!A:N,14,FALSE)</f>
        <v>#N/A</v>
      </c>
    </row>
    <row r="1719" spans="1:21" ht="16.5" customHeight="1">
      <c r="A1719" s="159" t="s">
        <v>265</v>
      </c>
      <c r="B1719" s="114" t="str">
        <f>VLOOKUP(A1719,'Data pick slip'!B:F,5,FALSE)</f>
        <v>KHJ-MC400-00</v>
      </c>
      <c r="F1719" s="157" t="s">
        <v>379</v>
      </c>
      <c r="H1719" s="138">
        <v>474</v>
      </c>
      <c r="I1719" s="139" t="e">
        <f>VLOOKUP(H1719,Stock_list!A:R,18,FALSE)</f>
        <v>#N/A</v>
      </c>
      <c r="J1719" s="139" t="e">
        <f>VLOOKUP(H1719,Stock_list!A:S,17,FALSE)</f>
        <v>#N/A</v>
      </c>
      <c r="K1719" s="51" t="e">
        <f>VLOOKUP(H1719,Stock_list!A:T,16,FALSE)</f>
        <v>#N/A</v>
      </c>
      <c r="L1719" s="4">
        <v>43823</v>
      </c>
      <c r="M1719" s="132">
        <v>5</v>
      </c>
      <c r="P1719" s="4" t="e">
        <f>VLOOKUP(H1719,Stock_list!A:Y,25,FALSE)</f>
        <v>#N/A</v>
      </c>
      <c r="Q1719" s="143"/>
      <c r="T1719" s="144"/>
      <c r="U1719" s="145" t="e">
        <f>VLOOKUP(H1719,Stock_list!A:N,14,FALSE)</f>
        <v>#N/A</v>
      </c>
    </row>
    <row r="1720" spans="1:21" ht="16.5" customHeight="1">
      <c r="A1720" s="159" t="s">
        <v>266</v>
      </c>
      <c r="B1720" s="114" t="str">
        <f>VLOOKUP(A1720,'Data pick slip'!B:F,5,FALSE)</f>
        <v>KHJ-MC500-00</v>
      </c>
      <c r="F1720" s="157" t="s">
        <v>379</v>
      </c>
      <c r="H1720" s="138">
        <v>474</v>
      </c>
      <c r="I1720" s="139" t="e">
        <f>VLOOKUP(H1720,Stock_list!A:R,18,FALSE)</f>
        <v>#N/A</v>
      </c>
      <c r="J1720" s="139" t="e">
        <f>VLOOKUP(H1720,Stock_list!A:S,17,FALSE)</f>
        <v>#N/A</v>
      </c>
      <c r="K1720" s="51" t="e">
        <f>VLOOKUP(H1720,Stock_list!A:T,16,FALSE)</f>
        <v>#N/A</v>
      </c>
      <c r="L1720" s="4">
        <v>43823</v>
      </c>
      <c r="M1720" s="132">
        <v>1</v>
      </c>
      <c r="P1720" s="4" t="e">
        <f>VLOOKUP(H1720,Stock_list!A:Y,25,FALSE)</f>
        <v>#N/A</v>
      </c>
      <c r="Q1720" s="143"/>
      <c r="T1720" s="144"/>
      <c r="U1720" s="145" t="e">
        <f>VLOOKUP(H1720,Stock_list!A:N,14,FALSE)</f>
        <v>#N/A</v>
      </c>
    </row>
    <row r="1721" spans="1:21" ht="16.5" customHeight="1">
      <c r="A1721" s="159" t="s">
        <v>261</v>
      </c>
      <c r="B1721" s="114" t="str">
        <f>VLOOKUP(A1721,'Data pick slip'!B:F,5,FALSE)</f>
        <v>KHJ-MC100-00</v>
      </c>
      <c r="F1721" s="157" t="s">
        <v>379</v>
      </c>
      <c r="H1721" s="138">
        <v>475</v>
      </c>
      <c r="I1721" s="139" t="e">
        <f>VLOOKUP(H1721,Stock_list!A:R,18,FALSE)</f>
        <v>#N/A</v>
      </c>
      <c r="J1721" s="139" t="e">
        <f>VLOOKUP(H1721,Stock_list!A:S,17,FALSE)</f>
        <v>#N/A</v>
      </c>
      <c r="K1721" s="51" t="e">
        <f>VLOOKUP(H1721,Stock_list!A:T,16,FALSE)</f>
        <v>#N/A</v>
      </c>
      <c r="L1721" s="4">
        <v>43886</v>
      </c>
      <c r="M1721" s="140">
        <f>140+60</f>
        <v>200</v>
      </c>
      <c r="P1721" s="4" t="e">
        <f>VLOOKUP(H1721,Stock_list!A:Y,25,FALSE)</f>
        <v>#N/A</v>
      </c>
      <c r="Q1721" s="143"/>
      <c r="T1721" s="144"/>
      <c r="U1721" s="145" t="e">
        <f>VLOOKUP(H1721,Stock_list!A:N,14,FALSE)</f>
        <v>#N/A</v>
      </c>
    </row>
    <row r="1722" spans="1:21" ht="16.5" customHeight="1">
      <c r="A1722" s="159" t="s">
        <v>264</v>
      </c>
      <c r="B1722" s="114" t="str">
        <f>VLOOKUP(A1722,'Data pick slip'!B:F,5,FALSE)</f>
        <v>KHJ-MC200-00</v>
      </c>
      <c r="F1722" s="157" t="s">
        <v>379</v>
      </c>
      <c r="H1722" s="138">
        <v>475</v>
      </c>
      <c r="I1722" s="139" t="e">
        <f>VLOOKUP(H1722,Stock_list!A:R,18,FALSE)</f>
        <v>#N/A</v>
      </c>
      <c r="J1722" s="139" t="e">
        <f>VLOOKUP(H1722,Stock_list!A:S,17,FALSE)</f>
        <v>#N/A</v>
      </c>
      <c r="K1722" s="51" t="e">
        <f>VLOOKUP(H1722,Stock_list!A:T,16,FALSE)</f>
        <v>#N/A</v>
      </c>
      <c r="L1722" s="4">
        <v>43886</v>
      </c>
      <c r="M1722" s="140">
        <v>13</v>
      </c>
      <c r="P1722" s="4" t="e">
        <f>VLOOKUP(H1722,Stock_list!A:Y,25,FALSE)</f>
        <v>#N/A</v>
      </c>
      <c r="Q1722" s="143"/>
      <c r="T1722" s="144"/>
      <c r="U1722" s="145" t="e">
        <f>VLOOKUP(H1722,Stock_list!A:N,14,FALSE)</f>
        <v>#N/A</v>
      </c>
    </row>
    <row r="1723" spans="1:21" ht="16.5" customHeight="1">
      <c r="A1723" s="159" t="s">
        <v>265</v>
      </c>
      <c r="B1723" s="114" t="str">
        <f>VLOOKUP(A1723,'Data pick slip'!B:F,5,FALSE)</f>
        <v>KHJ-MC400-00</v>
      </c>
      <c r="F1723" s="157" t="s">
        <v>379</v>
      </c>
      <c r="H1723" s="138">
        <v>475</v>
      </c>
      <c r="I1723" s="139" t="e">
        <f>VLOOKUP(H1723,Stock_list!A:R,18,FALSE)</f>
        <v>#N/A</v>
      </c>
      <c r="J1723" s="139" t="e">
        <f>VLOOKUP(H1723,Stock_list!A:S,17,FALSE)</f>
        <v>#N/A</v>
      </c>
      <c r="K1723" s="51" t="e">
        <f>VLOOKUP(H1723,Stock_list!A:T,16,FALSE)</f>
        <v>#N/A</v>
      </c>
      <c r="L1723" s="4">
        <v>43886</v>
      </c>
      <c r="M1723" s="140">
        <v>4</v>
      </c>
      <c r="P1723" s="4" t="e">
        <f>VLOOKUP(H1723,Stock_list!A:Y,25,FALSE)</f>
        <v>#N/A</v>
      </c>
      <c r="Q1723" s="143"/>
      <c r="T1723" s="144"/>
      <c r="U1723" s="145" t="e">
        <f>VLOOKUP(H1723,Stock_list!A:N,14,FALSE)</f>
        <v>#N/A</v>
      </c>
    </row>
    <row r="1724" spans="1:21" ht="16.5" customHeight="1">
      <c r="A1724" s="159" t="s">
        <v>261</v>
      </c>
      <c r="B1724" s="114" t="str">
        <f>VLOOKUP(A1724,'Data pick slip'!B:F,5,FALSE)</f>
        <v>KHJ-MC100-00</v>
      </c>
      <c r="F1724" s="157" t="s">
        <v>379</v>
      </c>
      <c r="I1724" s="139" t="s">
        <v>533</v>
      </c>
      <c r="J1724" s="139" t="s">
        <v>709</v>
      </c>
      <c r="K1724" s="51" t="s">
        <v>225</v>
      </c>
      <c r="L1724" s="4">
        <v>43777</v>
      </c>
      <c r="M1724" s="140">
        <v>100</v>
      </c>
      <c r="P1724" s="4" t="s">
        <v>214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264</v>
      </c>
      <c r="B1725" s="114" t="str">
        <f>VLOOKUP(A1725,'Data pick slip'!B:F,5,FALSE)</f>
        <v>KHJ-MC200-00</v>
      </c>
      <c r="F1725" s="157" t="s">
        <v>379</v>
      </c>
      <c r="I1725" s="139" t="s">
        <v>533</v>
      </c>
      <c r="J1725" s="139" t="s">
        <v>709</v>
      </c>
      <c r="K1725" s="51" t="s">
        <v>225</v>
      </c>
      <c r="L1725" s="4">
        <v>43777</v>
      </c>
      <c r="M1725" s="140">
        <v>40</v>
      </c>
      <c r="P1725" s="4" t="s">
        <v>214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265</v>
      </c>
      <c r="B1726" s="114" t="str">
        <f>VLOOKUP(A1726,'Data pick slip'!B:F,5,FALSE)</f>
        <v>KHJ-MC400-00</v>
      </c>
      <c r="F1726" s="157" t="s">
        <v>290</v>
      </c>
      <c r="I1726" s="139" t="s">
        <v>371</v>
      </c>
      <c r="J1726" s="139" t="s">
        <v>710</v>
      </c>
      <c r="K1726" s="51" t="s">
        <v>520</v>
      </c>
      <c r="L1726" s="4">
        <v>43780</v>
      </c>
      <c r="M1726" s="140">
        <v>1</v>
      </c>
      <c r="P1726" s="4" t="s">
        <v>214</v>
      </c>
      <c r="Q1726" s="143"/>
      <c r="S1726" s="123" t="s">
        <v>521</v>
      </c>
      <c r="T1726" s="144" t="s">
        <v>711</v>
      </c>
      <c r="U1726" s="145" t="e">
        <f>VLOOKUP(H1726,Stock_list!A:N,14,FALSE)</f>
        <v>#N/A</v>
      </c>
    </row>
    <row r="1727" spans="1:21" ht="16.5" customHeight="1">
      <c r="A1727" s="159" t="s">
        <v>261</v>
      </c>
      <c r="B1727" s="114" t="str">
        <f>VLOOKUP(A1727,'Data pick slip'!B:F,5,FALSE)</f>
        <v>KHJ-MC100-00</v>
      </c>
      <c r="F1727" s="157" t="s">
        <v>290</v>
      </c>
      <c r="I1727" s="139" t="s">
        <v>617</v>
      </c>
      <c r="J1727" s="139" t="s">
        <v>712</v>
      </c>
      <c r="K1727" s="51" t="s">
        <v>225</v>
      </c>
      <c r="L1727" s="4">
        <v>43777</v>
      </c>
      <c r="M1727" s="140">
        <v>3</v>
      </c>
      <c r="P1727" s="4" t="s">
        <v>214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264</v>
      </c>
      <c r="B1728" s="114" t="str">
        <f>VLOOKUP(A1728,'Data pick slip'!B:F,5,FALSE)</f>
        <v>KHJ-MC200-00</v>
      </c>
      <c r="F1728" s="157" t="s">
        <v>290</v>
      </c>
      <c r="I1728" s="139" t="s">
        <v>617</v>
      </c>
      <c r="J1728" s="139" t="s">
        <v>712</v>
      </c>
      <c r="K1728" s="51" t="s">
        <v>225</v>
      </c>
      <c r="L1728" s="4">
        <v>43777</v>
      </c>
      <c r="M1728" s="140">
        <v>2</v>
      </c>
      <c r="P1728" s="4" t="s">
        <v>214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264</v>
      </c>
      <c r="B1729" s="114" t="str">
        <f>VLOOKUP(A1729,'Data pick slip'!B:F,5,FALSE)</f>
        <v>KHJ-MC200-00</v>
      </c>
      <c r="F1729" s="157" t="s">
        <v>290</v>
      </c>
      <c r="I1729" s="139" t="s">
        <v>617</v>
      </c>
      <c r="J1729" s="139" t="s">
        <v>713</v>
      </c>
      <c r="K1729" s="51" t="s">
        <v>225</v>
      </c>
      <c r="L1729" s="4">
        <v>43780</v>
      </c>
      <c r="M1729" s="140">
        <v>5</v>
      </c>
      <c r="P1729" s="4" t="s">
        <v>214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261</v>
      </c>
      <c r="B1730" s="114" t="str">
        <f>VLOOKUP(A1730,'Data pick slip'!B:F,5,FALSE)</f>
        <v>KHJ-MC100-00</v>
      </c>
      <c r="F1730" s="157" t="s">
        <v>379</v>
      </c>
      <c r="H1730" s="138">
        <v>499</v>
      </c>
      <c r="I1730" s="139" t="e">
        <f>VLOOKUP(H1730,Stock_list!A:R,18,FALSE)</f>
        <v>#N/A</v>
      </c>
      <c r="J1730" s="139" t="e">
        <f>VLOOKUP(H1730,Stock_list!A:S,17,FALSE)</f>
        <v>#N/A</v>
      </c>
      <c r="K1730" s="51" t="e">
        <f>VLOOKUP(H1730,Stock_list!A:T,16,FALSE)</f>
        <v>#N/A</v>
      </c>
      <c r="L1730" s="4">
        <v>43822</v>
      </c>
      <c r="M1730" s="140">
        <v>140</v>
      </c>
      <c r="P1730" s="4" t="e">
        <f>VLOOKUP(H1730,Stock_list!A:Y,25,FALSE)</f>
        <v>#N/A</v>
      </c>
      <c r="Q1730" s="143"/>
      <c r="T1730" s="144"/>
      <c r="U1730" s="145" t="e">
        <f>VLOOKUP(H1730,Stock_list!A:N,14,FALSE)</f>
        <v>#N/A</v>
      </c>
    </row>
    <row r="1731" spans="1:21" ht="16.5" customHeight="1">
      <c r="A1731" s="159" t="s">
        <v>264</v>
      </c>
      <c r="B1731" s="114" t="str">
        <f>VLOOKUP(A1731,'Data pick slip'!B:F,5,FALSE)</f>
        <v>KHJ-MC200-00</v>
      </c>
      <c r="F1731" s="157" t="s">
        <v>379</v>
      </c>
      <c r="H1731" s="138">
        <v>499</v>
      </c>
      <c r="I1731" s="139" t="e">
        <f>VLOOKUP(H1731,Stock_list!A:R,18,FALSE)</f>
        <v>#N/A</v>
      </c>
      <c r="J1731" s="139" t="e">
        <f>VLOOKUP(H1731,Stock_list!A:S,17,FALSE)</f>
        <v>#N/A</v>
      </c>
      <c r="K1731" s="51" t="e">
        <f>VLOOKUP(H1731,Stock_list!A:T,16,FALSE)</f>
        <v>#N/A</v>
      </c>
      <c r="L1731" s="4">
        <v>43881</v>
      </c>
      <c r="M1731" s="140">
        <v>10</v>
      </c>
      <c r="P1731" s="4" t="e">
        <f>VLOOKUP(H1731,Stock_list!A:Y,25,FALSE)</f>
        <v>#N/A</v>
      </c>
      <c r="Q1731" s="143"/>
      <c r="T1731" s="144"/>
      <c r="U1731" s="145" t="e">
        <f>VLOOKUP(H1731,Stock_list!A:N,14,FALSE)</f>
        <v>#N/A</v>
      </c>
    </row>
    <row r="1732" spans="1:21" ht="16.5" customHeight="1">
      <c r="A1732" s="159" t="s">
        <v>264</v>
      </c>
      <c r="B1732" s="114" t="str">
        <f>VLOOKUP(A1732,'Data pick slip'!B:F,5,FALSE)</f>
        <v>KHJ-MC200-00</v>
      </c>
      <c r="F1732" s="157" t="s">
        <v>290</v>
      </c>
      <c r="I1732" s="139" t="s">
        <v>611</v>
      </c>
      <c r="J1732" s="139" t="s">
        <v>714</v>
      </c>
      <c r="K1732" s="51" t="s">
        <v>225</v>
      </c>
      <c r="L1732" s="4">
        <v>43783</v>
      </c>
      <c r="M1732" s="140">
        <v>2</v>
      </c>
      <c r="P1732" s="4" t="s">
        <v>214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261</v>
      </c>
      <c r="B1733" s="114" t="str">
        <f>VLOOKUP(A1733,'Data pick slip'!B:F,5,FALSE)</f>
        <v>KHJ-MC100-00</v>
      </c>
      <c r="F1733" s="157" t="s">
        <v>379</v>
      </c>
      <c r="H1733" s="138">
        <v>528</v>
      </c>
      <c r="I1733" s="139" t="e">
        <f>VLOOKUP(H1733,Stock_list!A:R,18,FALSE)</f>
        <v>#N/A</v>
      </c>
      <c r="J1733" s="139" t="e">
        <f>VLOOKUP(H1733,Stock_list!A:S,17,FALSE)</f>
        <v>#N/A</v>
      </c>
      <c r="K1733" s="51" t="e">
        <f>VLOOKUP(H1733,Stock_list!A:T,16,FALSE)</f>
        <v>#N/A</v>
      </c>
      <c r="L1733" s="4">
        <v>43902</v>
      </c>
      <c r="M1733" s="132">
        <v>37</v>
      </c>
      <c r="P1733" s="4" t="e">
        <f>VLOOKUP(H1733,Stock_list!A:Y,25,FALSE)</f>
        <v>#N/A</v>
      </c>
      <c r="Q1733" s="143"/>
      <c r="T1733" s="144"/>
      <c r="U1733" s="145" t="e">
        <f>VLOOKUP(H1733,Stock_list!A:N,14,FALSE)</f>
        <v>#N/A</v>
      </c>
    </row>
    <row r="1734" spans="1:21" ht="16.5" customHeight="1">
      <c r="A1734" s="159" t="s">
        <v>264</v>
      </c>
      <c r="B1734" s="114" t="str">
        <f>VLOOKUP(A1734,'Data pick slip'!B:F,5,FALSE)</f>
        <v>KHJ-MC200-00</v>
      </c>
      <c r="F1734" s="157" t="s">
        <v>379</v>
      </c>
      <c r="H1734" s="138">
        <v>528</v>
      </c>
      <c r="I1734" s="139" t="e">
        <f>VLOOKUP(H1734,Stock_list!A:R,18,FALSE)</f>
        <v>#N/A</v>
      </c>
      <c r="J1734" s="139" t="e">
        <f>VLOOKUP(H1734,Stock_list!A:S,17,FALSE)</f>
        <v>#N/A</v>
      </c>
      <c r="K1734" s="51" t="e">
        <f>VLOOKUP(H1734,Stock_list!A:T,16,FALSE)</f>
        <v>#N/A</v>
      </c>
      <c r="L1734" s="4">
        <v>43902</v>
      </c>
      <c r="M1734" s="132">
        <v>14</v>
      </c>
      <c r="P1734" s="4" t="e">
        <f>VLOOKUP(H1734,Stock_list!A:Y,25,FALSE)</f>
        <v>#N/A</v>
      </c>
      <c r="Q1734" s="143"/>
      <c r="T1734" s="144"/>
      <c r="U1734" s="145" t="e">
        <f>VLOOKUP(H1734,Stock_list!A:N,14,FALSE)</f>
        <v>#N/A</v>
      </c>
    </row>
    <row r="1735" spans="1:21" ht="16.5" customHeight="1">
      <c r="A1735" s="159" t="s">
        <v>265</v>
      </c>
      <c r="B1735" s="114" t="str">
        <f>VLOOKUP(A1735,'Data pick slip'!B:F,5,FALSE)</f>
        <v>KHJ-MC400-00</v>
      </c>
      <c r="F1735" s="157" t="s">
        <v>379</v>
      </c>
      <c r="H1735" s="138">
        <v>528</v>
      </c>
      <c r="I1735" s="139" t="e">
        <f>VLOOKUP(H1735,Stock_list!A:R,18,FALSE)</f>
        <v>#N/A</v>
      </c>
      <c r="J1735" s="139" t="e">
        <f>VLOOKUP(H1735,Stock_list!A:S,17,FALSE)</f>
        <v>#N/A</v>
      </c>
      <c r="K1735" s="51" t="e">
        <f>VLOOKUP(H1735,Stock_list!A:T,16,FALSE)</f>
        <v>#N/A</v>
      </c>
      <c r="L1735" s="4">
        <v>43902</v>
      </c>
      <c r="M1735" s="132">
        <v>8</v>
      </c>
      <c r="P1735" s="4" t="e">
        <f>VLOOKUP(H1735,Stock_list!A:Y,25,FALSE)</f>
        <v>#N/A</v>
      </c>
      <c r="Q1735" s="143"/>
      <c r="T1735" s="144"/>
      <c r="U1735" s="145" t="e">
        <f>VLOOKUP(H1735,Stock_list!A:N,14,FALSE)</f>
        <v>#N/A</v>
      </c>
    </row>
    <row r="1736" spans="1:21" ht="16.5" customHeight="1">
      <c r="A1736" s="159" t="s">
        <v>266</v>
      </c>
      <c r="B1736" s="114" t="str">
        <f>VLOOKUP(A1736,'Data pick slip'!B:F,5,FALSE)</f>
        <v>KHJ-MC500-00</v>
      </c>
      <c r="F1736" s="157" t="s">
        <v>379</v>
      </c>
      <c r="H1736" s="138">
        <v>528</v>
      </c>
      <c r="I1736" s="139" t="e">
        <f>VLOOKUP(H1736,Stock_list!A:R,18,FALSE)</f>
        <v>#N/A</v>
      </c>
      <c r="J1736" s="139" t="e">
        <f>VLOOKUP(H1736,Stock_list!A:S,17,FALSE)</f>
        <v>#N/A</v>
      </c>
      <c r="K1736" s="51" t="e">
        <f>VLOOKUP(H1736,Stock_list!A:T,16,FALSE)</f>
        <v>#N/A</v>
      </c>
      <c r="L1736" s="4">
        <v>43902</v>
      </c>
      <c r="M1736" s="132">
        <v>1</v>
      </c>
      <c r="P1736" s="4" t="e">
        <f>VLOOKUP(H1736,Stock_list!A:Y,25,FALSE)</f>
        <v>#N/A</v>
      </c>
      <c r="Q1736" s="143"/>
      <c r="T1736" s="144"/>
      <c r="U1736" s="145" t="e">
        <f>VLOOKUP(H1736,Stock_list!A:N,14,FALSE)</f>
        <v>#N/A</v>
      </c>
    </row>
    <row r="1737" spans="1:21" ht="16.5" customHeight="1">
      <c r="A1737" s="159" t="s">
        <v>267</v>
      </c>
      <c r="B1737" s="114" t="str">
        <f>VLOOKUP(A1737,'Data pick slip'!B:F,5,FALSE)</f>
        <v>KHJ-MC600-00</v>
      </c>
      <c r="F1737" s="157" t="s">
        <v>379</v>
      </c>
      <c r="H1737" s="138">
        <v>528</v>
      </c>
      <c r="I1737" s="139" t="e">
        <f>VLOOKUP(H1737,Stock_list!A:R,18,FALSE)</f>
        <v>#N/A</v>
      </c>
      <c r="J1737" s="139" t="e">
        <f>VLOOKUP(H1737,Stock_list!A:S,17,FALSE)</f>
        <v>#N/A</v>
      </c>
      <c r="K1737" s="51" t="e">
        <f>VLOOKUP(H1737,Stock_list!A:T,16,FALSE)</f>
        <v>#N/A</v>
      </c>
      <c r="L1737" s="4">
        <v>43902</v>
      </c>
      <c r="M1737" s="132">
        <v>2</v>
      </c>
      <c r="P1737" s="4" t="e">
        <f>VLOOKUP(H1737,Stock_list!A:Y,25,FALSE)</f>
        <v>#N/A</v>
      </c>
      <c r="Q1737" s="143"/>
      <c r="T1737" s="144"/>
      <c r="U1737" s="145" t="e">
        <f>VLOOKUP(H1737,Stock_list!A:N,14,FALSE)</f>
        <v>#N/A</v>
      </c>
    </row>
    <row r="1738" spans="1:21" ht="16.5" customHeight="1">
      <c r="A1738" s="159" t="s">
        <v>261</v>
      </c>
      <c r="B1738" s="114" t="str">
        <f>VLOOKUP(A1738,'Data pick slip'!B:F,5,FALSE)</f>
        <v>KHJ-MC100-00</v>
      </c>
      <c r="F1738" s="157" t="s">
        <v>379</v>
      </c>
      <c r="H1738" s="138">
        <v>510</v>
      </c>
      <c r="I1738" s="139" t="e">
        <f>VLOOKUP(H1738,Stock_list!A:R,18,FALSE)</f>
        <v>#N/A</v>
      </c>
      <c r="J1738" s="139" t="e">
        <f>VLOOKUP(H1738,Stock_list!A:S,17,FALSE)</f>
        <v>#N/A</v>
      </c>
      <c r="K1738" s="51" t="e">
        <f>VLOOKUP(H1738,Stock_list!A:T,16,FALSE)</f>
        <v>#N/A</v>
      </c>
      <c r="L1738" s="4">
        <v>43795</v>
      </c>
      <c r="M1738" s="132">
        <v>19</v>
      </c>
      <c r="P1738" s="4" t="e">
        <f>VLOOKUP(H1738,Stock_list!A:Y,25,FALSE)</f>
        <v>#N/A</v>
      </c>
      <c r="Q1738" s="143"/>
      <c r="T1738" s="144"/>
      <c r="U1738" s="145" t="e">
        <f>VLOOKUP(H1738,Stock_list!A:N,14,FALSE)</f>
        <v>#N/A</v>
      </c>
    </row>
    <row r="1739" spans="1:21" ht="16.5" customHeight="1">
      <c r="A1739" s="159" t="s">
        <v>264</v>
      </c>
      <c r="B1739" s="114" t="str">
        <f>VLOOKUP(A1739,'Data pick slip'!B:F,5,FALSE)</f>
        <v>KHJ-MC200-00</v>
      </c>
      <c r="F1739" s="157" t="s">
        <v>379</v>
      </c>
      <c r="H1739" s="138">
        <v>510</v>
      </c>
      <c r="I1739" s="139" t="e">
        <f>VLOOKUP(H1739,Stock_list!A:R,18,FALSE)</f>
        <v>#N/A</v>
      </c>
      <c r="J1739" s="139" t="e">
        <f>VLOOKUP(H1739,Stock_list!A:S,17,FALSE)</f>
        <v>#N/A</v>
      </c>
      <c r="K1739" s="51" t="e">
        <f>VLOOKUP(H1739,Stock_list!A:T,16,FALSE)</f>
        <v>#N/A</v>
      </c>
      <c r="L1739" s="4">
        <v>43795</v>
      </c>
      <c r="M1739" s="132">
        <v>2</v>
      </c>
      <c r="P1739" s="4" t="e">
        <f>VLOOKUP(H1739,Stock_list!A:Y,25,FALSE)</f>
        <v>#N/A</v>
      </c>
      <c r="Q1739" s="143"/>
      <c r="T1739" s="144"/>
      <c r="U1739" s="145" t="e">
        <f>VLOOKUP(H1739,Stock_list!A:N,14,FALSE)</f>
        <v>#N/A</v>
      </c>
    </row>
    <row r="1740" spans="1:21" ht="16.5" customHeight="1">
      <c r="A1740" s="159" t="s">
        <v>265</v>
      </c>
      <c r="B1740" s="114" t="str">
        <f>VLOOKUP(A1740,'Data pick slip'!B:F,5,FALSE)</f>
        <v>KHJ-MC400-00</v>
      </c>
      <c r="F1740" s="157" t="s">
        <v>379</v>
      </c>
      <c r="H1740" s="138">
        <v>510</v>
      </c>
      <c r="I1740" s="139" t="e">
        <f>VLOOKUP(H1740,Stock_list!A:R,18,FALSE)</f>
        <v>#N/A</v>
      </c>
      <c r="J1740" s="139" t="e">
        <f>VLOOKUP(H1740,Stock_list!A:S,17,FALSE)</f>
        <v>#N/A</v>
      </c>
      <c r="K1740" s="51" t="e">
        <f>VLOOKUP(H1740,Stock_list!A:T,16,FALSE)</f>
        <v>#N/A</v>
      </c>
      <c r="L1740" s="4">
        <v>43795</v>
      </c>
      <c r="M1740" s="132">
        <v>2</v>
      </c>
      <c r="P1740" s="4" t="e">
        <f>VLOOKUP(H1740,Stock_list!A:Y,25,FALSE)</f>
        <v>#N/A</v>
      </c>
      <c r="Q1740" s="143"/>
      <c r="T1740" s="144"/>
      <c r="U1740" s="145" t="e">
        <f>VLOOKUP(H1740,Stock_list!A:N,14,FALSE)</f>
        <v>#N/A</v>
      </c>
    </row>
    <row r="1741" spans="1:21" ht="16.5" customHeight="1">
      <c r="A1741" s="159" t="s">
        <v>261</v>
      </c>
      <c r="B1741" s="114" t="str">
        <f>VLOOKUP(A1741,'Data pick slip'!B:F,5,FALSE)</f>
        <v>KHJ-MC100-00</v>
      </c>
      <c r="F1741" s="157" t="s">
        <v>290</v>
      </c>
      <c r="I1741" s="139" t="s">
        <v>617</v>
      </c>
      <c r="J1741" s="139" t="s">
        <v>715</v>
      </c>
      <c r="K1741" s="51" t="s">
        <v>225</v>
      </c>
      <c r="L1741" s="4">
        <v>43784</v>
      </c>
      <c r="M1741" s="140">
        <v>50</v>
      </c>
      <c r="P1741" s="4" t="s">
        <v>214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264</v>
      </c>
      <c r="B1742" s="114" t="str">
        <f>VLOOKUP(A1742,'Data pick slip'!B:F,5,FALSE)</f>
        <v>KHJ-MC200-00</v>
      </c>
      <c r="F1742" s="157" t="s">
        <v>290</v>
      </c>
      <c r="I1742" s="139" t="s">
        <v>617</v>
      </c>
      <c r="J1742" s="139" t="s">
        <v>715</v>
      </c>
      <c r="K1742" s="51" t="s">
        <v>225</v>
      </c>
      <c r="L1742" s="4">
        <v>43784</v>
      </c>
      <c r="M1742" s="140">
        <v>8</v>
      </c>
      <c r="P1742" s="4" t="s">
        <v>214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265</v>
      </c>
      <c r="B1743" s="114" t="str">
        <f>VLOOKUP(A1743,'Data pick slip'!B:F,5,FALSE)</f>
        <v>KHJ-MC400-00</v>
      </c>
      <c r="F1743" s="157" t="s">
        <v>290</v>
      </c>
      <c r="I1743" s="139" t="s">
        <v>617</v>
      </c>
      <c r="J1743" s="139" t="s">
        <v>715</v>
      </c>
      <c r="K1743" s="51" t="s">
        <v>225</v>
      </c>
      <c r="L1743" s="4">
        <v>43784</v>
      </c>
      <c r="M1743" s="140">
        <v>3</v>
      </c>
      <c r="P1743" s="4" t="s">
        <v>214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264</v>
      </c>
      <c r="B1744" s="114" t="str">
        <f>VLOOKUP(A1744,'Data pick slip'!B:F,5,FALSE)</f>
        <v>KHJ-MC200-00</v>
      </c>
      <c r="F1744" s="157" t="s">
        <v>290</v>
      </c>
      <c r="I1744" s="139" t="s">
        <v>617</v>
      </c>
      <c r="J1744" s="139" t="s">
        <v>716</v>
      </c>
      <c r="K1744" s="51" t="s">
        <v>225</v>
      </c>
      <c r="L1744" s="4">
        <v>43777</v>
      </c>
      <c r="M1744" s="140">
        <v>10</v>
      </c>
      <c r="P1744" s="4" t="s">
        <v>214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265</v>
      </c>
      <c r="B1745" s="114" t="str">
        <f>VLOOKUP(A1745,'Data pick slip'!B:F,5,FALSE)</f>
        <v>KHJ-MC400-00</v>
      </c>
      <c r="F1745" s="157" t="s">
        <v>290</v>
      </c>
      <c r="I1745" s="139" t="s">
        <v>617</v>
      </c>
      <c r="J1745" s="139" t="s">
        <v>716</v>
      </c>
      <c r="K1745" s="51" t="s">
        <v>225</v>
      </c>
      <c r="L1745" s="4">
        <v>43777</v>
      </c>
      <c r="M1745" s="140">
        <v>4</v>
      </c>
      <c r="P1745" s="4" t="s">
        <v>214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261</v>
      </c>
      <c r="B1746" s="114" t="str">
        <f>VLOOKUP(A1746,'Data pick slip'!B:F,5,FALSE)</f>
        <v>KHJ-MC100-00</v>
      </c>
      <c r="F1746" s="157" t="s">
        <v>379</v>
      </c>
      <c r="I1746" s="139" t="s">
        <v>533</v>
      </c>
      <c r="J1746" s="139" t="s">
        <v>717</v>
      </c>
      <c r="K1746" s="51" t="s">
        <v>225</v>
      </c>
      <c r="L1746" s="4">
        <v>43790</v>
      </c>
      <c r="M1746" s="140">
        <v>300</v>
      </c>
      <c r="P1746" s="4" t="s">
        <v>214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264</v>
      </c>
      <c r="B1747" s="114" t="str">
        <f>VLOOKUP(A1747,'Data pick slip'!B:F,5,FALSE)</f>
        <v>KHJ-MC200-00</v>
      </c>
      <c r="F1747" s="157" t="s">
        <v>379</v>
      </c>
      <c r="I1747" s="139" t="s">
        <v>533</v>
      </c>
      <c r="J1747" s="139" t="s">
        <v>717</v>
      </c>
      <c r="K1747" s="51" t="s">
        <v>225</v>
      </c>
      <c r="L1747" s="4">
        <v>43790</v>
      </c>
      <c r="M1747" s="140">
        <v>20</v>
      </c>
      <c r="P1747" s="4" t="s">
        <v>214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265</v>
      </c>
      <c r="B1748" s="114" t="str">
        <f>VLOOKUP(A1748,'Data pick slip'!B:F,5,FALSE)</f>
        <v>KHJ-MC400-00</v>
      </c>
      <c r="F1748" s="157" t="s">
        <v>379</v>
      </c>
      <c r="I1748" s="139" t="s">
        <v>533</v>
      </c>
      <c r="J1748" s="139" t="s">
        <v>717</v>
      </c>
      <c r="K1748" s="51" t="s">
        <v>225</v>
      </c>
      <c r="L1748" s="4">
        <v>43790</v>
      </c>
      <c r="M1748" s="140">
        <v>10</v>
      </c>
      <c r="P1748" s="4" t="s">
        <v>214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266</v>
      </c>
      <c r="B1749" s="114" t="str">
        <f>VLOOKUP(A1749,'Data pick slip'!B:F,5,FALSE)</f>
        <v>KHJ-MC500-00</v>
      </c>
      <c r="F1749" s="157" t="s">
        <v>379</v>
      </c>
      <c r="I1749" s="139" t="s">
        <v>533</v>
      </c>
      <c r="J1749" s="139" t="s">
        <v>717</v>
      </c>
      <c r="K1749" s="51" t="s">
        <v>225</v>
      </c>
      <c r="L1749" s="4">
        <v>43790</v>
      </c>
      <c r="M1749" s="140">
        <v>8</v>
      </c>
      <c r="P1749" s="4" t="s">
        <v>214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264</v>
      </c>
      <c r="B1750" s="114" t="str">
        <f>VLOOKUP(A1750,'Data pick slip'!B:F,5,FALSE)</f>
        <v>KHJ-MC200-00</v>
      </c>
      <c r="F1750" s="157" t="s">
        <v>290</v>
      </c>
      <c r="I1750" s="139" t="s">
        <v>718</v>
      </c>
      <c r="J1750" s="139" t="s">
        <v>719</v>
      </c>
      <c r="K1750" s="51" t="s">
        <v>225</v>
      </c>
      <c r="L1750" s="4">
        <v>43788</v>
      </c>
      <c r="M1750" s="140">
        <v>5</v>
      </c>
      <c r="P1750" s="4" t="s">
        <v>214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265</v>
      </c>
      <c r="B1751" s="114" t="str">
        <f>VLOOKUP(A1751,'Data pick slip'!B:F,5,FALSE)</f>
        <v>KHJ-MC400-00</v>
      </c>
      <c r="F1751" s="157" t="s">
        <v>290</v>
      </c>
      <c r="I1751" s="139" t="s">
        <v>718</v>
      </c>
      <c r="J1751" s="139" t="s">
        <v>719</v>
      </c>
      <c r="K1751" s="51" t="s">
        <v>225</v>
      </c>
      <c r="L1751" s="4">
        <v>43788</v>
      </c>
      <c r="M1751" s="140">
        <v>3</v>
      </c>
      <c r="P1751" s="4" t="s">
        <v>214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266</v>
      </c>
      <c r="B1752" s="114" t="str">
        <f>VLOOKUP(A1752,'Data pick slip'!B:F,5,FALSE)</f>
        <v>KHJ-MC500-00</v>
      </c>
      <c r="F1752" s="157" t="s">
        <v>290</v>
      </c>
      <c r="I1752" s="139" t="s">
        <v>718</v>
      </c>
      <c r="J1752" s="139" t="s">
        <v>719</v>
      </c>
      <c r="K1752" s="51" t="s">
        <v>225</v>
      </c>
      <c r="L1752" s="4">
        <v>43788</v>
      </c>
      <c r="M1752" s="140">
        <v>1</v>
      </c>
      <c r="P1752" s="4" t="s">
        <v>214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261</v>
      </c>
      <c r="B1753" s="114" t="str">
        <f>VLOOKUP(A1753,'Data pick slip'!B:F,5,FALSE)</f>
        <v>KHJ-MC100-00</v>
      </c>
      <c r="F1753" s="157" t="s">
        <v>379</v>
      </c>
      <c r="H1753" s="138">
        <v>512</v>
      </c>
      <c r="I1753" s="139" t="e">
        <f>VLOOKUP(H1753,Stock_list!A:R,18,FALSE)</f>
        <v>#N/A</v>
      </c>
      <c r="J1753" s="139" t="e">
        <f>VLOOKUP(H1753,Stock_list!A:S,17,FALSE)</f>
        <v>#N/A</v>
      </c>
      <c r="K1753" s="51" t="e">
        <f>VLOOKUP(H1753,Stock_list!A:T,16,FALSE)</f>
        <v>#N/A</v>
      </c>
      <c r="L1753" s="4">
        <v>43812</v>
      </c>
      <c r="M1753" s="132">
        <v>35</v>
      </c>
      <c r="P1753" s="4" t="e">
        <f>VLOOKUP(H1753,Stock_list!A:Y,25,FALSE)</f>
        <v>#N/A</v>
      </c>
      <c r="Q1753" s="143"/>
      <c r="T1753" s="144"/>
      <c r="U1753" s="145" t="e">
        <f>VLOOKUP(H1753,Stock_list!A:N,14,FALSE)</f>
        <v>#N/A</v>
      </c>
    </row>
    <row r="1754" spans="1:21" ht="16.5" customHeight="1">
      <c r="A1754" s="159" t="s">
        <v>261</v>
      </c>
      <c r="B1754" s="114" t="str">
        <f>VLOOKUP(A1754,'Data pick slip'!B:F,5,FALSE)</f>
        <v>KHJ-MC100-00</v>
      </c>
      <c r="F1754" s="157" t="s">
        <v>379</v>
      </c>
      <c r="H1754" s="138">
        <v>513</v>
      </c>
      <c r="I1754" s="139" t="e">
        <f>VLOOKUP(H1754,Stock_list!A:R,18,FALSE)</f>
        <v>#N/A</v>
      </c>
      <c r="J1754" s="139" t="e">
        <f>VLOOKUP(H1754,Stock_list!A:S,17,FALSE)</f>
        <v>#N/A</v>
      </c>
      <c r="K1754" s="51" t="e">
        <f>VLOOKUP(H1754,Stock_list!A:T,16,FALSE)</f>
        <v>#N/A</v>
      </c>
      <c r="L1754" s="4">
        <v>43838</v>
      </c>
      <c r="M1754" s="132">
        <v>115</v>
      </c>
      <c r="P1754" s="4" t="e">
        <f>VLOOKUP(H1754,Stock_list!A:Y,25,FALSE)</f>
        <v>#N/A</v>
      </c>
      <c r="Q1754" s="143"/>
      <c r="T1754" s="144"/>
      <c r="U1754" s="145" t="e">
        <f>VLOOKUP(H1754,Stock_list!A:N,14,FALSE)</f>
        <v>#N/A</v>
      </c>
    </row>
    <row r="1755" spans="1:21" ht="16.5" customHeight="1">
      <c r="A1755" s="159" t="s">
        <v>264</v>
      </c>
      <c r="B1755" s="114" t="str">
        <f>VLOOKUP(A1755,'Data pick slip'!B:F,5,FALSE)</f>
        <v>KHJ-MC200-00</v>
      </c>
      <c r="F1755" s="157" t="s">
        <v>379</v>
      </c>
      <c r="H1755" s="138">
        <v>513</v>
      </c>
      <c r="I1755" s="139" t="e">
        <f>VLOOKUP(H1755,Stock_list!A:R,18,FALSE)</f>
        <v>#N/A</v>
      </c>
      <c r="J1755" s="139" t="e">
        <f>VLOOKUP(H1755,Stock_list!A:S,17,FALSE)</f>
        <v>#N/A</v>
      </c>
      <c r="K1755" s="51" t="e">
        <f>VLOOKUP(H1755,Stock_list!A:T,16,FALSE)</f>
        <v>#N/A</v>
      </c>
      <c r="L1755" s="4">
        <v>43838</v>
      </c>
      <c r="M1755" s="132">
        <v>10</v>
      </c>
      <c r="P1755" s="4" t="e">
        <f>VLOOKUP(H1755,Stock_list!A:Y,25,FALSE)</f>
        <v>#N/A</v>
      </c>
      <c r="Q1755" s="143"/>
      <c r="T1755" s="144"/>
      <c r="U1755" s="145" t="e">
        <f>VLOOKUP(H1755,Stock_list!A:N,14,FALSE)</f>
        <v>#N/A</v>
      </c>
    </row>
    <row r="1756" spans="1:21" ht="16.5" customHeight="1">
      <c r="A1756" s="159" t="s">
        <v>265</v>
      </c>
      <c r="B1756" s="114" t="str">
        <f>VLOOKUP(A1756,'Data pick slip'!B:F,5,FALSE)</f>
        <v>KHJ-MC400-00</v>
      </c>
      <c r="F1756" s="157" t="s">
        <v>379</v>
      </c>
      <c r="H1756" s="138">
        <v>513</v>
      </c>
      <c r="I1756" s="139" t="e">
        <f>VLOOKUP(H1756,Stock_list!A:R,18,FALSE)</f>
        <v>#N/A</v>
      </c>
      <c r="J1756" s="139" t="e">
        <f>VLOOKUP(H1756,Stock_list!A:S,17,FALSE)</f>
        <v>#N/A</v>
      </c>
      <c r="K1756" s="51" t="e">
        <f>VLOOKUP(H1756,Stock_list!A:T,16,FALSE)</f>
        <v>#N/A</v>
      </c>
      <c r="L1756" s="4">
        <v>43838</v>
      </c>
      <c r="M1756" s="132">
        <v>2</v>
      </c>
      <c r="P1756" s="4" t="e">
        <f>VLOOKUP(H1756,Stock_list!A:Y,25,FALSE)</f>
        <v>#N/A</v>
      </c>
      <c r="Q1756" s="143"/>
      <c r="T1756" s="144"/>
      <c r="U1756" s="145" t="e">
        <f>VLOOKUP(H1756,Stock_list!A:N,14,FALSE)</f>
        <v>#N/A</v>
      </c>
    </row>
    <row r="1757" spans="1:21" ht="16.5" customHeight="1">
      <c r="A1757" s="159" t="s">
        <v>266</v>
      </c>
      <c r="B1757" s="114" t="str">
        <f>VLOOKUP(A1757,'Data pick slip'!B:F,5,FALSE)</f>
        <v>KHJ-MC500-00</v>
      </c>
      <c r="F1757" s="157" t="s">
        <v>379</v>
      </c>
      <c r="H1757" s="138">
        <v>513</v>
      </c>
      <c r="I1757" s="139" t="e">
        <f>VLOOKUP(H1757,Stock_list!A:R,18,FALSE)</f>
        <v>#N/A</v>
      </c>
      <c r="J1757" s="139" t="e">
        <f>VLOOKUP(H1757,Stock_list!A:S,17,FALSE)</f>
        <v>#N/A</v>
      </c>
      <c r="K1757" s="51" t="e">
        <f>VLOOKUP(H1757,Stock_list!A:T,16,FALSE)</f>
        <v>#N/A</v>
      </c>
      <c r="L1757" s="4">
        <v>43838</v>
      </c>
      <c r="M1757" s="132">
        <v>1</v>
      </c>
      <c r="P1757" s="4" t="e">
        <f>VLOOKUP(H1757,Stock_list!A:Y,25,FALSE)</f>
        <v>#N/A</v>
      </c>
      <c r="Q1757" s="143"/>
      <c r="T1757" s="144"/>
      <c r="U1757" s="145" t="e">
        <f>VLOOKUP(H1757,Stock_list!A:N,14,FALSE)</f>
        <v>#N/A</v>
      </c>
    </row>
    <row r="1758" spans="1:21" ht="16.5" customHeight="1">
      <c r="A1758" s="159" t="s">
        <v>261</v>
      </c>
      <c r="B1758" s="114" t="str">
        <f>VLOOKUP(A1758,'Data pick slip'!B:F,5,FALSE)</f>
        <v>KHJ-MC100-00</v>
      </c>
      <c r="F1758" s="157" t="s">
        <v>379</v>
      </c>
      <c r="H1758" s="138">
        <v>516</v>
      </c>
      <c r="I1758" s="139" t="e">
        <f>VLOOKUP(H1758,Stock_list!A:R,18,FALSE)</f>
        <v>#N/A</v>
      </c>
      <c r="J1758" s="139" t="e">
        <f>VLOOKUP(H1758,Stock_list!A:S,17,FALSE)</f>
        <v>#N/A</v>
      </c>
      <c r="K1758" s="51" t="e">
        <f>VLOOKUP(H1758,Stock_list!A:T,16,FALSE)</f>
        <v>#N/A</v>
      </c>
      <c r="L1758" s="4">
        <v>43846</v>
      </c>
      <c r="M1758" s="132">
        <v>60</v>
      </c>
      <c r="P1758" s="4" t="e">
        <f>VLOOKUP(H1758,Stock_list!A:Y,25,FALSE)</f>
        <v>#N/A</v>
      </c>
      <c r="Q1758" s="143"/>
      <c r="T1758" s="144"/>
      <c r="U1758" s="145" t="e">
        <f>VLOOKUP(H1758,Stock_list!A:N,14,FALSE)</f>
        <v>#N/A</v>
      </c>
    </row>
    <row r="1759" spans="1:21" ht="16.5" customHeight="1">
      <c r="A1759" s="159" t="s">
        <v>264</v>
      </c>
      <c r="B1759" s="114" t="str">
        <f>VLOOKUP(A1759,'Data pick slip'!B:F,5,FALSE)</f>
        <v>KHJ-MC200-00</v>
      </c>
      <c r="F1759" s="157" t="s">
        <v>379</v>
      </c>
      <c r="H1759" s="138">
        <v>516</v>
      </c>
      <c r="I1759" s="139" t="e">
        <f>VLOOKUP(H1759,Stock_list!A:R,18,FALSE)</f>
        <v>#N/A</v>
      </c>
      <c r="J1759" s="139" t="e">
        <f>VLOOKUP(H1759,Stock_list!A:S,17,FALSE)</f>
        <v>#N/A</v>
      </c>
      <c r="K1759" s="51" t="e">
        <f>VLOOKUP(H1759,Stock_list!A:T,16,FALSE)</f>
        <v>#N/A</v>
      </c>
      <c r="L1759" s="4">
        <v>43846</v>
      </c>
      <c r="M1759" s="132">
        <v>2</v>
      </c>
      <c r="P1759" s="4" t="e">
        <f>VLOOKUP(H1759,Stock_list!A:Y,25,FALSE)</f>
        <v>#N/A</v>
      </c>
      <c r="Q1759" s="143"/>
      <c r="T1759" s="144"/>
      <c r="U1759" s="145" t="e">
        <f>VLOOKUP(H1759,Stock_list!A:N,14,FALSE)</f>
        <v>#N/A</v>
      </c>
    </row>
    <row r="1760" spans="1:21" ht="16.5" customHeight="1">
      <c r="A1760" s="159" t="s">
        <v>266</v>
      </c>
      <c r="B1760" s="114" t="str">
        <f>VLOOKUP(A1760,'Data pick slip'!B:F,5,FALSE)</f>
        <v>KHJ-MC500-00</v>
      </c>
      <c r="F1760" s="157" t="s">
        <v>290</v>
      </c>
      <c r="I1760" s="139" t="s">
        <v>611</v>
      </c>
      <c r="J1760" s="139" t="s">
        <v>720</v>
      </c>
      <c r="K1760" s="51" t="s">
        <v>225</v>
      </c>
      <c r="L1760" s="4">
        <v>43794</v>
      </c>
      <c r="M1760" s="140">
        <v>1</v>
      </c>
      <c r="P1760" s="4" t="s">
        <v>214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267</v>
      </c>
      <c r="B1761" s="114" t="str">
        <f>VLOOKUP(A1761,'Data pick slip'!B:F,5,FALSE)</f>
        <v>KHJ-MC600-00</v>
      </c>
      <c r="F1761" s="157" t="s">
        <v>290</v>
      </c>
      <c r="I1761" s="139" t="s">
        <v>633</v>
      </c>
      <c r="J1761" s="139" t="s">
        <v>721</v>
      </c>
      <c r="K1761" s="51" t="s">
        <v>225</v>
      </c>
      <c r="L1761" s="4">
        <v>43790</v>
      </c>
      <c r="M1761" s="140">
        <v>1</v>
      </c>
      <c r="P1761" s="4" t="s">
        <v>214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264</v>
      </c>
      <c r="B1762" s="114" t="str">
        <f>VLOOKUP(A1762,'Data pick slip'!B:F,5,FALSE)</f>
        <v>KHJ-MC200-00</v>
      </c>
      <c r="F1762" s="157" t="s">
        <v>290</v>
      </c>
      <c r="I1762" s="139" t="s">
        <v>657</v>
      </c>
      <c r="J1762" s="139" t="s">
        <v>722</v>
      </c>
      <c r="K1762" s="51" t="s">
        <v>225</v>
      </c>
      <c r="L1762" s="4">
        <v>43790</v>
      </c>
      <c r="M1762" s="140">
        <v>3</v>
      </c>
      <c r="P1762" s="4" t="s">
        <v>214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264</v>
      </c>
      <c r="B1763" s="114" t="str">
        <f>VLOOKUP(A1763,'Data pick slip'!B:F,5,FALSE)</f>
        <v>KHJ-MC200-00</v>
      </c>
      <c r="F1763" s="157" t="s">
        <v>290</v>
      </c>
      <c r="I1763" s="139" t="s">
        <v>611</v>
      </c>
      <c r="J1763" s="139" t="s">
        <v>723</v>
      </c>
      <c r="K1763" s="51" t="s">
        <v>225</v>
      </c>
      <c r="L1763" s="4">
        <v>43795</v>
      </c>
      <c r="M1763" s="140">
        <v>3</v>
      </c>
      <c r="P1763" s="4" t="s">
        <v>214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272</v>
      </c>
      <c r="B1764" s="114" t="str">
        <f>VLOOKUP(A1764,'Data pick slip'!B:F,5,FALSE)</f>
        <v>KLJ-MC100-00</v>
      </c>
      <c r="F1764" s="157" t="s">
        <v>290</v>
      </c>
      <c r="H1764" s="138">
        <v>518</v>
      </c>
      <c r="I1764" s="139" t="e">
        <f>VLOOKUP(H1764,Stock_list!A:R,18,FALSE)</f>
        <v>#N/A</v>
      </c>
      <c r="J1764" s="139" t="e">
        <f>VLOOKUP(H1764,Stock_list!A:S,17,FALSE)</f>
        <v>#N/A</v>
      </c>
      <c r="K1764" s="51" t="e">
        <f>VLOOKUP(H1764,Stock_list!A:T,16,FALSE)</f>
        <v>#N/A</v>
      </c>
      <c r="L1764" s="4">
        <v>43817</v>
      </c>
      <c r="M1764" s="132">
        <v>80</v>
      </c>
      <c r="P1764" s="4" t="e">
        <f>VLOOKUP(H1764,Stock_list!A:Y,25,FALSE)</f>
        <v>#N/A</v>
      </c>
      <c r="Q1764" s="143"/>
      <c r="T1764" s="144"/>
      <c r="U1764" s="145" t="e">
        <f>VLOOKUP(H1764,Stock_list!A:N,14,FALSE)</f>
        <v>#N/A</v>
      </c>
    </row>
    <row r="1765" spans="1:21" ht="16.5" customHeight="1">
      <c r="A1765" s="159" t="s">
        <v>261</v>
      </c>
      <c r="B1765" s="114" t="str">
        <f>VLOOKUP(A1765,'Data pick slip'!B:F,5,FALSE)</f>
        <v>KHJ-MC100-00</v>
      </c>
      <c r="F1765" s="157" t="s">
        <v>379</v>
      </c>
      <c r="H1765" s="138">
        <v>521</v>
      </c>
      <c r="I1765" s="139" t="e">
        <f>VLOOKUP(H1765,Stock_list!A:R,18,FALSE)</f>
        <v>#N/A</v>
      </c>
      <c r="J1765" s="139" t="e">
        <f>VLOOKUP(H1765,Stock_list!A:S,17,FALSE)</f>
        <v>#N/A</v>
      </c>
      <c r="K1765" s="51" t="e">
        <f>VLOOKUP(H1765,Stock_list!A:T,16,FALSE)</f>
        <v>#N/A</v>
      </c>
      <c r="L1765" s="4">
        <v>43843</v>
      </c>
      <c r="M1765" s="132">
        <v>64</v>
      </c>
      <c r="P1765" s="4" t="e">
        <f>VLOOKUP(H1765,Stock_list!A:Y,25,FALSE)</f>
        <v>#N/A</v>
      </c>
      <c r="Q1765" s="143"/>
      <c r="T1765" s="144"/>
      <c r="U1765" s="145" t="e">
        <f>VLOOKUP(H1765,Stock_list!A:N,14,FALSE)</f>
        <v>#N/A</v>
      </c>
    </row>
    <row r="1766" spans="1:21" ht="16.5" customHeight="1">
      <c r="A1766" s="159" t="s">
        <v>264</v>
      </c>
      <c r="B1766" s="114" t="str">
        <f>VLOOKUP(A1766,'Data pick slip'!B:F,5,FALSE)</f>
        <v>KHJ-MC200-00</v>
      </c>
      <c r="F1766" s="157" t="s">
        <v>379</v>
      </c>
      <c r="H1766" s="138">
        <v>521</v>
      </c>
      <c r="I1766" s="139" t="e">
        <f>VLOOKUP(H1766,Stock_list!A:R,18,FALSE)</f>
        <v>#N/A</v>
      </c>
      <c r="J1766" s="139" t="e">
        <f>VLOOKUP(H1766,Stock_list!A:S,17,FALSE)</f>
        <v>#N/A</v>
      </c>
      <c r="K1766" s="51" t="e">
        <f>VLOOKUP(H1766,Stock_list!A:T,16,FALSE)</f>
        <v>#N/A</v>
      </c>
      <c r="L1766" s="4">
        <v>43843</v>
      </c>
      <c r="M1766" s="132">
        <v>7</v>
      </c>
      <c r="P1766" s="4" t="e">
        <f>VLOOKUP(H1766,Stock_list!A:Y,25,FALSE)</f>
        <v>#N/A</v>
      </c>
      <c r="Q1766" s="143"/>
      <c r="T1766" s="144"/>
      <c r="U1766" s="145" t="e">
        <f>VLOOKUP(H1766,Stock_list!A:N,14,FALSE)</f>
        <v>#N/A</v>
      </c>
    </row>
    <row r="1767" spans="1:21" ht="16.5" customHeight="1">
      <c r="A1767" s="159" t="s">
        <v>265</v>
      </c>
      <c r="B1767" s="114" t="str">
        <f>VLOOKUP(A1767,'Data pick slip'!B:F,5,FALSE)</f>
        <v>KHJ-MC400-00</v>
      </c>
      <c r="F1767" s="157" t="s">
        <v>379</v>
      </c>
      <c r="H1767" s="138">
        <v>521</v>
      </c>
      <c r="I1767" s="139" t="e">
        <f>VLOOKUP(H1767,Stock_list!A:R,18,FALSE)</f>
        <v>#N/A</v>
      </c>
      <c r="J1767" s="139" t="e">
        <f>VLOOKUP(H1767,Stock_list!A:S,17,FALSE)</f>
        <v>#N/A</v>
      </c>
      <c r="K1767" s="51" t="e">
        <f>VLOOKUP(H1767,Stock_list!A:T,16,FALSE)</f>
        <v>#N/A</v>
      </c>
      <c r="L1767" s="4">
        <v>43843</v>
      </c>
      <c r="M1767" s="132">
        <v>2</v>
      </c>
      <c r="P1767" s="4" t="e">
        <f>VLOOKUP(H1767,Stock_list!A:Y,25,FALSE)</f>
        <v>#N/A</v>
      </c>
      <c r="Q1767" s="143"/>
      <c r="T1767" s="144"/>
      <c r="U1767" s="145" t="e">
        <f>VLOOKUP(H1767,Stock_list!A:N,14,FALSE)</f>
        <v>#N/A</v>
      </c>
    </row>
    <row r="1768" spans="1:21" ht="16.5" customHeight="1">
      <c r="A1768" s="159" t="s">
        <v>265</v>
      </c>
      <c r="B1768" s="114" t="str">
        <f>VLOOKUP(A1768,'Data pick slip'!B:F,5,FALSE)</f>
        <v>KHJ-MC400-00</v>
      </c>
      <c r="F1768" s="157" t="s">
        <v>290</v>
      </c>
      <c r="I1768" s="139" t="s">
        <v>657</v>
      </c>
      <c r="J1768" s="139" t="s">
        <v>724</v>
      </c>
      <c r="K1768" s="51" t="s">
        <v>641</v>
      </c>
      <c r="L1768" s="4">
        <v>43798</v>
      </c>
      <c r="M1768" s="140">
        <v>1</v>
      </c>
      <c r="P1768" s="4" t="s">
        <v>214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268</v>
      </c>
      <c r="B1769" s="114" t="str">
        <f>VLOOKUP(A1769,'Data pick slip'!B:F,5,FALSE)</f>
        <v>KHJ-MC700-00</v>
      </c>
      <c r="F1769" s="157" t="s">
        <v>290</v>
      </c>
      <c r="I1769" s="139" t="s">
        <v>611</v>
      </c>
      <c r="J1769" s="139" t="s">
        <v>725</v>
      </c>
      <c r="K1769" s="51" t="s">
        <v>225</v>
      </c>
      <c r="L1769" s="4">
        <v>43794</v>
      </c>
      <c r="M1769" s="140">
        <v>1</v>
      </c>
      <c r="P1769" s="4" t="s">
        <v>214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261</v>
      </c>
      <c r="B1770" s="114" t="str">
        <f>VLOOKUP(A1770,'Data pick slip'!B:F,5,FALSE)</f>
        <v>KHJ-MC100-00</v>
      </c>
      <c r="F1770" s="157" t="s">
        <v>290</v>
      </c>
      <c r="I1770" s="139" t="s">
        <v>611</v>
      </c>
      <c r="J1770" s="139" t="s">
        <v>726</v>
      </c>
      <c r="K1770" s="51" t="s">
        <v>225</v>
      </c>
      <c r="L1770" s="4">
        <v>43789</v>
      </c>
      <c r="M1770" s="140">
        <v>30</v>
      </c>
      <c r="P1770" s="4" t="s">
        <v>214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264</v>
      </c>
      <c r="B1771" s="114" t="str">
        <f>VLOOKUP(A1771,'Data pick slip'!B:F,5,FALSE)</f>
        <v>KHJ-MC200-00</v>
      </c>
      <c r="F1771" s="157" t="s">
        <v>290</v>
      </c>
      <c r="I1771" s="139" t="s">
        <v>611</v>
      </c>
      <c r="J1771" s="139" t="s">
        <v>726</v>
      </c>
      <c r="K1771" s="51" t="s">
        <v>225</v>
      </c>
      <c r="L1771" s="4">
        <v>43789</v>
      </c>
      <c r="M1771" s="140">
        <v>5</v>
      </c>
      <c r="P1771" s="4" t="s">
        <v>214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266</v>
      </c>
      <c r="B1772" s="114" t="str">
        <f>VLOOKUP(A1772,'Data pick slip'!B:F,5,FALSE)</f>
        <v>KHJ-MC500-00</v>
      </c>
      <c r="F1772" s="157" t="s">
        <v>290</v>
      </c>
      <c r="I1772" s="139" t="s">
        <v>611</v>
      </c>
      <c r="J1772" s="139" t="s">
        <v>726</v>
      </c>
      <c r="K1772" s="51" t="s">
        <v>225</v>
      </c>
      <c r="L1772" s="4">
        <v>43789</v>
      </c>
      <c r="M1772" s="140">
        <v>2</v>
      </c>
      <c r="P1772" s="4" t="s">
        <v>214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261</v>
      </c>
      <c r="B1773" s="114" t="str">
        <f>VLOOKUP(A1773,'Data pick slip'!B:F,5,FALSE)</f>
        <v>KHJ-MC100-00</v>
      </c>
      <c r="F1773" s="157" t="s">
        <v>290</v>
      </c>
      <c r="I1773" s="139" t="s">
        <v>611</v>
      </c>
      <c r="J1773" s="139" t="s">
        <v>700</v>
      </c>
      <c r="K1773" s="51" t="s">
        <v>225</v>
      </c>
      <c r="L1773" s="4">
        <v>43804</v>
      </c>
      <c r="M1773" s="140">
        <v>30</v>
      </c>
      <c r="P1773" s="4" t="s">
        <v>214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264</v>
      </c>
      <c r="B1774" s="114" t="str">
        <f>VLOOKUP(A1774,'Data pick slip'!B:F,5,FALSE)</f>
        <v>KHJ-MC200-00</v>
      </c>
      <c r="F1774" s="157" t="s">
        <v>290</v>
      </c>
      <c r="I1774" s="139" t="s">
        <v>611</v>
      </c>
      <c r="J1774" s="139" t="s">
        <v>700</v>
      </c>
      <c r="K1774" s="51" t="s">
        <v>225</v>
      </c>
      <c r="L1774" s="4">
        <v>43804</v>
      </c>
      <c r="M1774" s="140">
        <v>5</v>
      </c>
      <c r="P1774" s="4" t="s">
        <v>214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261</v>
      </c>
      <c r="B1775" s="114" t="str">
        <f>VLOOKUP(A1775,'Data pick slip'!B:F,5,FALSE)</f>
        <v>KHJ-MC100-00</v>
      </c>
      <c r="F1775" s="157" t="s">
        <v>290</v>
      </c>
      <c r="H1775" s="138">
        <v>525</v>
      </c>
      <c r="I1775" s="139" t="e">
        <f>VLOOKUP(H1775,Stock_list!A:R,18,FALSE)</f>
        <v>#N/A</v>
      </c>
      <c r="J1775" s="139" t="e">
        <f>VLOOKUP(H1775,Stock_list!A:S,17,FALSE)</f>
        <v>#N/A</v>
      </c>
      <c r="K1775" s="51" t="e">
        <f>VLOOKUP(H1775,Stock_list!A:T,16,FALSE)</f>
        <v>#N/A</v>
      </c>
      <c r="L1775" s="4">
        <v>43830</v>
      </c>
      <c r="M1775" s="132">
        <v>95</v>
      </c>
      <c r="P1775" s="4" t="e">
        <f>VLOOKUP(H1775,Stock_list!A:Y,25,FALSE)</f>
        <v>#N/A</v>
      </c>
      <c r="Q1775" s="143"/>
      <c r="T1775" s="144"/>
      <c r="U1775" s="145" t="e">
        <f>VLOOKUP(H1775,Stock_list!A:N,14,FALSE)</f>
        <v>#N/A</v>
      </c>
    </row>
    <row r="1776" spans="1:21" ht="16.5" customHeight="1">
      <c r="A1776" s="159" t="s">
        <v>264</v>
      </c>
      <c r="B1776" s="114" t="str">
        <f>VLOOKUP(A1776,'Data pick slip'!B:F,5,FALSE)</f>
        <v>KHJ-MC200-00</v>
      </c>
      <c r="F1776" s="157" t="s">
        <v>290</v>
      </c>
      <c r="H1776" s="138">
        <v>525</v>
      </c>
      <c r="I1776" s="139" t="e">
        <f>VLOOKUP(H1776,Stock_list!A:R,18,FALSE)</f>
        <v>#N/A</v>
      </c>
      <c r="J1776" s="139" t="e">
        <f>VLOOKUP(H1776,Stock_list!A:S,17,FALSE)</f>
        <v>#N/A</v>
      </c>
      <c r="K1776" s="51" t="e">
        <f>VLOOKUP(H1776,Stock_list!A:T,16,FALSE)</f>
        <v>#N/A</v>
      </c>
      <c r="L1776" s="4">
        <v>43830</v>
      </c>
      <c r="M1776" s="132">
        <v>5</v>
      </c>
      <c r="P1776" s="4" t="e">
        <f>VLOOKUP(H1776,Stock_list!A:Y,25,FALSE)</f>
        <v>#N/A</v>
      </c>
      <c r="Q1776" s="143"/>
      <c r="T1776" s="144"/>
      <c r="U1776" s="145" t="e">
        <f>VLOOKUP(H1776,Stock_list!A:N,14,FALSE)</f>
        <v>#N/A</v>
      </c>
    </row>
    <row r="1777" spans="1:21" ht="16.5" customHeight="1">
      <c r="A1777" s="159" t="s">
        <v>261</v>
      </c>
      <c r="B1777" s="114" t="str">
        <f>VLOOKUP(A1777,'Data pick slip'!B:F,5,FALSE)</f>
        <v>KHJ-MC100-00</v>
      </c>
      <c r="F1777" s="157" t="s">
        <v>290</v>
      </c>
      <c r="I1777" s="139" t="s">
        <v>611</v>
      </c>
      <c r="J1777" s="139" t="s">
        <v>727</v>
      </c>
      <c r="K1777" s="51" t="s">
        <v>225</v>
      </c>
      <c r="L1777" s="4">
        <v>43810</v>
      </c>
      <c r="M1777" s="132">
        <v>60</v>
      </c>
      <c r="P1777" s="4" t="s">
        <v>214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264</v>
      </c>
      <c r="B1778" s="114" t="str">
        <f>VLOOKUP(A1778,'Data pick slip'!B:F,5,FALSE)</f>
        <v>KHJ-MC200-00</v>
      </c>
      <c r="F1778" s="157" t="s">
        <v>290</v>
      </c>
      <c r="I1778" s="139" t="s">
        <v>611</v>
      </c>
      <c r="J1778" s="139" t="s">
        <v>727</v>
      </c>
      <c r="K1778" s="51" t="s">
        <v>225</v>
      </c>
      <c r="L1778" s="4">
        <v>43810</v>
      </c>
      <c r="M1778" s="132">
        <v>12</v>
      </c>
      <c r="P1778" s="4" t="s">
        <v>214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264</v>
      </c>
      <c r="B1779" s="114" t="str">
        <f>VLOOKUP(A1779,'Data pick slip'!B:F,5,FALSE)</f>
        <v>KHJ-MC200-00</v>
      </c>
      <c r="F1779" s="157" t="s">
        <v>290</v>
      </c>
      <c r="I1779" s="139" t="s">
        <v>728</v>
      </c>
      <c r="J1779" s="139" t="s">
        <v>728</v>
      </c>
      <c r="K1779" s="51" t="s">
        <v>641</v>
      </c>
      <c r="L1779" s="4">
        <v>43811</v>
      </c>
      <c r="M1779" s="132">
        <v>70</v>
      </c>
      <c r="P1779" s="4" t="s">
        <v>214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264</v>
      </c>
      <c r="B1780" s="114" t="str">
        <f>VLOOKUP(A1780,'Data pick slip'!B:F,5,FALSE)</f>
        <v>KHJ-MC200-00</v>
      </c>
      <c r="F1780" s="157" t="s">
        <v>379</v>
      </c>
      <c r="I1780" s="139" t="s">
        <v>533</v>
      </c>
      <c r="J1780" s="139" t="s">
        <v>729</v>
      </c>
      <c r="K1780" s="51" t="s">
        <v>225</v>
      </c>
      <c r="L1780" s="4">
        <v>43811</v>
      </c>
      <c r="M1780" s="132">
        <v>8</v>
      </c>
      <c r="P1780" s="4" t="s">
        <v>214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273</v>
      </c>
      <c r="B1781" s="114" t="str">
        <f>VLOOKUP(A1781,'Data pick slip'!B:F,5,FALSE)</f>
        <v>KLJ-MC200-00</v>
      </c>
      <c r="F1781" s="157" t="s">
        <v>379</v>
      </c>
      <c r="I1781" s="139" t="s">
        <v>533</v>
      </c>
      <c r="J1781" s="139" t="s">
        <v>729</v>
      </c>
      <c r="K1781" s="51" t="s">
        <v>225</v>
      </c>
      <c r="L1781" s="4">
        <v>43811</v>
      </c>
      <c r="M1781" s="132">
        <v>20</v>
      </c>
      <c r="P1781" s="4" t="s">
        <v>214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266</v>
      </c>
      <c r="B1782" s="114" t="str">
        <f>VLOOKUP(A1782,'Data pick slip'!B:F,5,FALSE)</f>
        <v>KHJ-MC500-00</v>
      </c>
      <c r="F1782" s="157" t="s">
        <v>290</v>
      </c>
      <c r="I1782" s="139" t="s">
        <v>611</v>
      </c>
      <c r="J1782" s="139" t="s">
        <v>705</v>
      </c>
      <c r="K1782" s="51" t="s">
        <v>225</v>
      </c>
      <c r="L1782" s="4">
        <v>43810</v>
      </c>
      <c r="M1782" s="132">
        <v>2</v>
      </c>
      <c r="P1782" s="4" t="s">
        <v>214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261</v>
      </c>
      <c r="B1783" s="114" t="str">
        <f>VLOOKUP(A1783,'Data pick slip'!B:F,5,FALSE)</f>
        <v>KHJ-MC100-00</v>
      </c>
      <c r="F1783" s="157" t="s">
        <v>379</v>
      </c>
      <c r="H1783" s="138">
        <v>527</v>
      </c>
      <c r="I1783" s="139" t="e">
        <f>VLOOKUP(H1783,Stock_list!A:R,18,FALSE)</f>
        <v>#N/A</v>
      </c>
      <c r="J1783" s="139" t="e">
        <f>VLOOKUP(H1783,Stock_list!A:S,17,FALSE)</f>
        <v>#N/A</v>
      </c>
      <c r="K1783" s="51" t="e">
        <f>VLOOKUP(H1783,Stock_list!A:T,16,FALSE)</f>
        <v>#N/A</v>
      </c>
      <c r="L1783" s="4">
        <v>43813</v>
      </c>
      <c r="M1783" s="132">
        <v>5</v>
      </c>
      <c r="P1783" s="4" t="e">
        <f>VLOOKUP(H1783,Stock_list!A:Y,25,FALSE)</f>
        <v>#N/A</v>
      </c>
      <c r="Q1783" s="143"/>
      <c r="T1783" s="144"/>
      <c r="U1783" s="145" t="e">
        <f>VLOOKUP(H1783,Stock_list!A:N,14,FALSE)</f>
        <v>#N/A</v>
      </c>
    </row>
    <row r="1784" spans="1:21" ht="16.5" customHeight="1">
      <c r="A1784" s="159" t="s">
        <v>264</v>
      </c>
      <c r="B1784" s="114" t="str">
        <f>VLOOKUP(A1784,'Data pick slip'!B:F,5,FALSE)</f>
        <v>KHJ-MC200-00</v>
      </c>
      <c r="F1784" s="157" t="s">
        <v>290</v>
      </c>
      <c r="H1784" s="138">
        <v>527</v>
      </c>
      <c r="I1784" s="139" t="e">
        <f>VLOOKUP(H1784,Stock_list!A:R,18,FALSE)</f>
        <v>#N/A</v>
      </c>
      <c r="J1784" s="139" t="e">
        <f>VLOOKUP(H1784,Stock_list!A:S,17,FALSE)</f>
        <v>#N/A</v>
      </c>
      <c r="K1784" s="51" t="e">
        <f>VLOOKUP(H1784,Stock_list!A:T,16,FALSE)</f>
        <v>#N/A</v>
      </c>
      <c r="L1784" s="4">
        <v>43813</v>
      </c>
      <c r="M1784" s="132">
        <v>2</v>
      </c>
      <c r="P1784" s="4" t="e">
        <f>VLOOKUP(H1784,Stock_list!A:Y,25,FALSE)</f>
        <v>#N/A</v>
      </c>
      <c r="Q1784" s="143"/>
      <c r="S1784" s="123" t="s">
        <v>521</v>
      </c>
      <c r="T1784" s="205" t="s">
        <v>730</v>
      </c>
      <c r="U1784" s="145" t="e">
        <f>VLOOKUP(H1784,Stock_list!A:N,14,FALSE)</f>
        <v>#N/A</v>
      </c>
    </row>
    <row r="1785" spans="1:21" ht="16.5" customHeight="1">
      <c r="A1785" s="159" t="s">
        <v>272</v>
      </c>
      <c r="B1785" s="114" t="str">
        <f>VLOOKUP(A1785,'Data pick slip'!B:F,5,FALSE)</f>
        <v>KLJ-MC100-00</v>
      </c>
      <c r="F1785" s="157" t="s">
        <v>290</v>
      </c>
      <c r="H1785" s="138">
        <v>532</v>
      </c>
      <c r="I1785" s="139" t="e">
        <f>VLOOKUP(H1785,Stock_list!A:R,18,FALSE)</f>
        <v>#N/A</v>
      </c>
      <c r="J1785" s="139" t="e">
        <f>VLOOKUP(H1785,Stock_list!A:S,17,FALSE)</f>
        <v>#N/A</v>
      </c>
      <c r="K1785" s="51" t="e">
        <f>VLOOKUP(H1785,Stock_list!A:T,16,FALSE)</f>
        <v>#N/A</v>
      </c>
      <c r="L1785" s="4">
        <v>43818</v>
      </c>
      <c r="M1785" s="132">
        <v>25</v>
      </c>
      <c r="P1785" s="4" t="e">
        <f>VLOOKUP(H1785,Stock_list!A:Y,25,FALSE)</f>
        <v>#N/A</v>
      </c>
      <c r="Q1785" s="143"/>
      <c r="T1785" s="144"/>
      <c r="U1785" s="145" t="e">
        <f>VLOOKUP(H1785,Stock_list!A:N,14,FALSE)</f>
        <v>#N/A</v>
      </c>
    </row>
    <row r="1786" spans="1:21" ht="16.5" customHeight="1">
      <c r="A1786" s="159" t="s">
        <v>261</v>
      </c>
      <c r="B1786" s="114" t="str">
        <f>VLOOKUP(A1786,'Data pick slip'!B:F,5,FALSE)</f>
        <v>KHJ-MC100-00</v>
      </c>
      <c r="F1786" s="157" t="s">
        <v>379</v>
      </c>
      <c r="H1786" s="138">
        <v>533</v>
      </c>
      <c r="I1786" s="139" t="e">
        <f>VLOOKUP(H1786,Stock_list!A:R,18,FALSE)</f>
        <v>#N/A</v>
      </c>
      <c r="J1786" s="139" t="e">
        <f>VLOOKUP(H1786,Stock_list!A:S,17,FALSE)</f>
        <v>#N/A</v>
      </c>
      <c r="K1786" s="51" t="e">
        <f>VLOOKUP(H1786,Stock_list!A:T,16,FALSE)</f>
        <v>#N/A</v>
      </c>
      <c r="L1786" s="4">
        <v>43894</v>
      </c>
      <c r="M1786" s="132">
        <v>155</v>
      </c>
      <c r="P1786" s="4" t="e">
        <f>VLOOKUP(H1786,Stock_list!A:Y,25,FALSE)</f>
        <v>#N/A</v>
      </c>
      <c r="Q1786" s="143"/>
      <c r="T1786" s="144"/>
      <c r="U1786" s="145" t="e">
        <f>VLOOKUP(H1786,Stock_list!A:N,14,FALSE)</f>
        <v>#N/A</v>
      </c>
    </row>
    <row r="1787" spans="1:21" ht="16.5" customHeight="1">
      <c r="A1787" s="159" t="s">
        <v>264</v>
      </c>
      <c r="B1787" s="114" t="str">
        <f>VLOOKUP(A1787,'Data pick slip'!B:F,5,FALSE)</f>
        <v>KHJ-MC200-00</v>
      </c>
      <c r="F1787" s="157" t="s">
        <v>379</v>
      </c>
      <c r="H1787" s="138">
        <v>533</v>
      </c>
      <c r="I1787" s="139" t="e">
        <f>VLOOKUP(H1787,Stock_list!A:R,18,FALSE)</f>
        <v>#N/A</v>
      </c>
      <c r="J1787" s="139" t="e">
        <f>VLOOKUP(H1787,Stock_list!A:S,17,FALSE)</f>
        <v>#N/A</v>
      </c>
      <c r="K1787" s="51" t="e">
        <f>VLOOKUP(H1787,Stock_list!A:T,16,FALSE)</f>
        <v>#N/A</v>
      </c>
      <c r="L1787" s="4">
        <v>43894</v>
      </c>
      <c r="M1787" s="132">
        <v>60</v>
      </c>
      <c r="P1787" s="4" t="e">
        <f>VLOOKUP(H1787,Stock_list!A:Y,25,FALSE)</f>
        <v>#N/A</v>
      </c>
      <c r="Q1787" s="143"/>
      <c r="T1787" s="144"/>
      <c r="U1787" s="145" t="e">
        <f>VLOOKUP(H1787,Stock_list!A:N,14,FALSE)</f>
        <v>#N/A</v>
      </c>
    </row>
    <row r="1788" spans="1:21" ht="16.5" customHeight="1">
      <c r="A1788" s="159" t="s">
        <v>265</v>
      </c>
      <c r="B1788" s="114" t="str">
        <f>VLOOKUP(A1788,'Data pick slip'!B:F,5,FALSE)</f>
        <v>KHJ-MC400-00</v>
      </c>
      <c r="F1788" s="157" t="s">
        <v>379</v>
      </c>
      <c r="H1788" s="138">
        <v>533</v>
      </c>
      <c r="I1788" s="139" t="e">
        <f>VLOOKUP(H1788,Stock_list!A:R,18,FALSE)</f>
        <v>#N/A</v>
      </c>
      <c r="J1788" s="139" t="e">
        <f>VLOOKUP(H1788,Stock_list!A:S,17,FALSE)</f>
        <v>#N/A</v>
      </c>
      <c r="K1788" s="51" t="e">
        <f>VLOOKUP(H1788,Stock_list!A:T,16,FALSE)</f>
        <v>#N/A</v>
      </c>
      <c r="L1788" s="4">
        <v>43894</v>
      </c>
      <c r="M1788" s="132">
        <v>12</v>
      </c>
      <c r="P1788" s="4" t="e">
        <f>VLOOKUP(H1788,Stock_list!A:Y,25,FALSE)</f>
        <v>#N/A</v>
      </c>
      <c r="Q1788" s="143"/>
      <c r="T1788" s="144"/>
      <c r="U1788" s="145" t="e">
        <f>VLOOKUP(H1788,Stock_list!A:N,14,FALSE)</f>
        <v>#N/A</v>
      </c>
    </row>
    <row r="1789" spans="1:21" ht="16.5" customHeight="1">
      <c r="A1789" s="159" t="s">
        <v>265</v>
      </c>
      <c r="B1789" s="114" t="str">
        <f>VLOOKUP(A1789,'Data pick slip'!B:F,5,FALSE)</f>
        <v>KHJ-MC400-00</v>
      </c>
      <c r="F1789" s="157" t="s">
        <v>290</v>
      </c>
      <c r="I1789" s="139" t="s">
        <v>611</v>
      </c>
      <c r="J1789" s="139" t="s">
        <v>731</v>
      </c>
      <c r="K1789" s="51" t="s">
        <v>225</v>
      </c>
      <c r="L1789" s="4">
        <v>43811</v>
      </c>
      <c r="M1789" s="132">
        <v>3</v>
      </c>
      <c r="P1789" s="4" t="s">
        <v>214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264</v>
      </c>
      <c r="B1790" s="114" t="str">
        <f>VLOOKUP(A1790,'Data pick slip'!B:F,5,FALSE)</f>
        <v>KHJ-MC200-00</v>
      </c>
      <c r="F1790" s="157" t="s">
        <v>290</v>
      </c>
      <c r="I1790" s="139" t="s">
        <v>611</v>
      </c>
      <c r="J1790" s="139" t="s">
        <v>732</v>
      </c>
      <c r="K1790" s="51" t="s">
        <v>225</v>
      </c>
      <c r="L1790" s="4">
        <v>43811</v>
      </c>
      <c r="M1790" s="132">
        <v>4</v>
      </c>
      <c r="P1790" s="4" t="s">
        <v>214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261</v>
      </c>
      <c r="B1791" s="114" t="str">
        <f>VLOOKUP(A1791,'Data pick slip'!B:F,5,FALSE)</f>
        <v>KHJ-MC100-00</v>
      </c>
      <c r="F1791" s="157" t="s">
        <v>379</v>
      </c>
      <c r="H1791" s="138">
        <v>529</v>
      </c>
      <c r="I1791" s="139" t="e">
        <f>VLOOKUP(H1791,Stock_list!A:R,18,FALSE)</f>
        <v>#N/A</v>
      </c>
      <c r="J1791" s="139" t="e">
        <f>VLOOKUP(H1791,Stock_list!A:S,17,FALSE)</f>
        <v>#N/A</v>
      </c>
      <c r="K1791" s="51" t="e">
        <f>VLOOKUP(H1791,Stock_list!A:T,16,FALSE)</f>
        <v>#N/A</v>
      </c>
      <c r="L1791" s="4">
        <v>43941</v>
      </c>
      <c r="M1791" s="132">
        <v>60</v>
      </c>
      <c r="P1791" s="4" t="e">
        <f>VLOOKUP(H1791,Stock_list!A:Y,25,FALSE)</f>
        <v>#N/A</v>
      </c>
      <c r="Q1791" s="143"/>
      <c r="T1791" s="144"/>
      <c r="U1791" s="145" t="e">
        <f>VLOOKUP(H1791,Stock_list!A:N,14,FALSE)</f>
        <v>#N/A</v>
      </c>
    </row>
    <row r="1792" spans="1:21" ht="16.5" customHeight="1">
      <c r="A1792" s="159" t="s">
        <v>264</v>
      </c>
      <c r="B1792" s="114" t="str">
        <f>VLOOKUP(A1792,'Data pick slip'!B:F,5,FALSE)</f>
        <v>KHJ-MC200-00</v>
      </c>
      <c r="F1792" s="157" t="s">
        <v>379</v>
      </c>
      <c r="H1792" s="138">
        <v>529</v>
      </c>
      <c r="I1792" s="139" t="e">
        <f>VLOOKUP(H1792,Stock_list!A:R,18,FALSE)</f>
        <v>#N/A</v>
      </c>
      <c r="J1792" s="139" t="e">
        <f>VLOOKUP(H1792,Stock_list!A:S,17,FALSE)</f>
        <v>#N/A</v>
      </c>
      <c r="K1792" s="51" t="e">
        <f>VLOOKUP(H1792,Stock_list!A:T,16,FALSE)</f>
        <v>#N/A</v>
      </c>
      <c r="L1792" s="4">
        <v>43941</v>
      </c>
      <c r="M1792" s="132">
        <v>10</v>
      </c>
      <c r="P1792" s="4" t="e">
        <f>VLOOKUP(H1792,Stock_list!A:Y,25,FALSE)</f>
        <v>#N/A</v>
      </c>
      <c r="Q1792" s="143"/>
      <c r="T1792" s="144"/>
      <c r="U1792" s="145" t="e">
        <f>VLOOKUP(H1792,Stock_list!A:N,14,FALSE)</f>
        <v>#N/A</v>
      </c>
    </row>
    <row r="1793" spans="1:21" ht="16.5" customHeight="1">
      <c r="A1793" s="159" t="s">
        <v>265</v>
      </c>
      <c r="B1793" s="114" t="str">
        <f>VLOOKUP(A1793,'Data pick slip'!B:F,5,FALSE)</f>
        <v>KHJ-MC400-00</v>
      </c>
      <c r="F1793" s="157" t="s">
        <v>379</v>
      </c>
      <c r="H1793" s="138">
        <v>529</v>
      </c>
      <c r="I1793" s="139" t="e">
        <f>VLOOKUP(H1793,Stock_list!A:R,18,FALSE)</f>
        <v>#N/A</v>
      </c>
      <c r="J1793" s="139" t="e">
        <f>VLOOKUP(H1793,Stock_list!A:S,17,FALSE)</f>
        <v>#N/A</v>
      </c>
      <c r="K1793" s="51" t="e">
        <f>VLOOKUP(H1793,Stock_list!A:T,16,FALSE)</f>
        <v>#N/A</v>
      </c>
      <c r="L1793" s="4">
        <v>43941</v>
      </c>
      <c r="M1793" s="132">
        <v>10</v>
      </c>
      <c r="P1793" s="4" t="e">
        <f>VLOOKUP(H1793,Stock_list!A:Y,25,FALSE)</f>
        <v>#N/A</v>
      </c>
      <c r="Q1793" s="143"/>
      <c r="T1793" s="144"/>
      <c r="U1793" s="145" t="e">
        <f>VLOOKUP(H1793,Stock_list!A:N,14,FALSE)</f>
        <v>#N/A</v>
      </c>
    </row>
    <row r="1794" spans="1:21" ht="16.5" customHeight="1">
      <c r="A1794" s="159" t="s">
        <v>266</v>
      </c>
      <c r="B1794" s="114" t="str">
        <f>VLOOKUP(A1794,'Data pick slip'!B:F,5,FALSE)</f>
        <v>KHJ-MC500-00</v>
      </c>
      <c r="F1794" s="157" t="s">
        <v>379</v>
      </c>
      <c r="H1794" s="138">
        <v>529</v>
      </c>
      <c r="I1794" s="139" t="e">
        <f>VLOOKUP(H1794,Stock_list!A:R,18,FALSE)</f>
        <v>#N/A</v>
      </c>
      <c r="J1794" s="139" t="e">
        <f>VLOOKUP(H1794,Stock_list!A:S,17,FALSE)</f>
        <v>#N/A</v>
      </c>
      <c r="K1794" s="51" t="e">
        <f>VLOOKUP(H1794,Stock_list!A:T,16,FALSE)</f>
        <v>#N/A</v>
      </c>
      <c r="L1794" s="4">
        <v>43941</v>
      </c>
      <c r="M1794" s="132">
        <v>2</v>
      </c>
      <c r="P1794" s="4" t="e">
        <f>VLOOKUP(H1794,Stock_list!A:Y,25,FALSE)</f>
        <v>#N/A</v>
      </c>
      <c r="Q1794" s="143"/>
      <c r="T1794" s="144"/>
      <c r="U1794" s="145" t="e">
        <f>VLOOKUP(H1794,Stock_list!A:N,14,FALSE)</f>
        <v>#N/A</v>
      </c>
    </row>
    <row r="1795" spans="1:21" ht="16.5" customHeight="1">
      <c r="A1795" s="159" t="s">
        <v>267</v>
      </c>
      <c r="B1795" s="114" t="str">
        <f>VLOOKUP(A1795,'Data pick slip'!B:F,5,FALSE)</f>
        <v>KHJ-MC600-00</v>
      </c>
      <c r="F1795" s="157" t="s">
        <v>379</v>
      </c>
      <c r="H1795" s="138">
        <v>529</v>
      </c>
      <c r="I1795" s="139" t="e">
        <f>VLOOKUP(H1795,Stock_list!A:R,18,FALSE)</f>
        <v>#N/A</v>
      </c>
      <c r="J1795" s="139" t="e">
        <f>VLOOKUP(H1795,Stock_list!A:S,17,FALSE)</f>
        <v>#N/A</v>
      </c>
      <c r="K1795" s="51" t="e">
        <f>VLOOKUP(H1795,Stock_list!A:T,16,FALSE)</f>
        <v>#N/A</v>
      </c>
      <c r="L1795" s="4">
        <v>43941</v>
      </c>
      <c r="M1795" s="132">
        <v>2</v>
      </c>
      <c r="P1795" s="4" t="e">
        <f>VLOOKUP(H1795,Stock_list!A:Y,25,FALSE)</f>
        <v>#N/A</v>
      </c>
      <c r="Q1795" s="143"/>
      <c r="T1795" s="144"/>
      <c r="U1795" s="145" t="e">
        <f>VLOOKUP(H1795,Stock_list!A:N,14,FALSE)</f>
        <v>#N/A</v>
      </c>
    </row>
    <row r="1796" spans="1:21" ht="16.5" customHeight="1">
      <c r="A1796" s="159" t="s">
        <v>261</v>
      </c>
      <c r="B1796" s="114" t="str">
        <f>VLOOKUP(A1796,'Data pick slip'!B:F,5,FALSE)</f>
        <v>KHJ-MC100-00</v>
      </c>
      <c r="F1796" s="157" t="s">
        <v>379</v>
      </c>
      <c r="H1796" s="138">
        <v>545</v>
      </c>
      <c r="I1796" s="139" t="e">
        <f>VLOOKUP(H1796,Stock_list!A:R,18,FALSE)</f>
        <v>#N/A</v>
      </c>
      <c r="J1796" s="139" t="e">
        <f>VLOOKUP(H1796,Stock_list!A:S,17,FALSE)</f>
        <v>#N/A</v>
      </c>
      <c r="K1796" s="51" t="e">
        <f>VLOOKUP(H1796,Stock_list!A:T,16,FALSE)</f>
        <v>#N/A</v>
      </c>
      <c r="L1796" s="4">
        <v>43845</v>
      </c>
      <c r="M1796" s="132">
        <v>100</v>
      </c>
      <c r="P1796" s="4" t="e">
        <f>VLOOKUP(H1796,Stock_list!A:Y,25,FALSE)</f>
        <v>#N/A</v>
      </c>
      <c r="Q1796" s="143"/>
      <c r="T1796" s="144"/>
      <c r="U1796" s="145" t="e">
        <f>VLOOKUP(H1796,Stock_list!A:N,14,FALSE)</f>
        <v>#N/A</v>
      </c>
    </row>
    <row r="1797" spans="1:21" ht="16.5" customHeight="1">
      <c r="A1797" s="159" t="s">
        <v>264</v>
      </c>
      <c r="B1797" s="114" t="str">
        <f>VLOOKUP(A1797,'Data pick slip'!B:F,5,FALSE)</f>
        <v>KHJ-MC200-00</v>
      </c>
      <c r="F1797" s="157" t="s">
        <v>379</v>
      </c>
      <c r="H1797" s="138">
        <v>545</v>
      </c>
      <c r="I1797" s="139" t="e">
        <f>VLOOKUP(H1797,Stock_list!A:R,18,FALSE)</f>
        <v>#N/A</v>
      </c>
      <c r="J1797" s="139" t="e">
        <f>VLOOKUP(H1797,Stock_list!A:S,17,FALSE)</f>
        <v>#N/A</v>
      </c>
      <c r="K1797" s="51" t="e">
        <f>VLOOKUP(H1797,Stock_list!A:T,16,FALSE)</f>
        <v>#N/A</v>
      </c>
      <c r="L1797" s="4">
        <v>43845</v>
      </c>
      <c r="M1797" s="132">
        <v>30</v>
      </c>
      <c r="P1797" s="4" t="e">
        <f>VLOOKUP(H1797,Stock_list!A:Y,25,FALSE)</f>
        <v>#N/A</v>
      </c>
      <c r="Q1797" s="143"/>
      <c r="T1797" s="144"/>
      <c r="U1797" s="145" t="e">
        <f>VLOOKUP(H1797,Stock_list!A:N,14,FALSE)</f>
        <v>#N/A</v>
      </c>
    </row>
    <row r="1798" spans="1:21" ht="16.5" customHeight="1">
      <c r="A1798" s="159" t="s">
        <v>265</v>
      </c>
      <c r="B1798" s="114" t="str">
        <f>VLOOKUP(A1798,'Data pick slip'!B:F,5,FALSE)</f>
        <v>KHJ-MC400-00</v>
      </c>
      <c r="F1798" s="157" t="s">
        <v>379</v>
      </c>
      <c r="H1798" s="138">
        <v>545</v>
      </c>
      <c r="I1798" s="139" t="e">
        <f>VLOOKUP(H1798,Stock_list!A:R,18,FALSE)</f>
        <v>#N/A</v>
      </c>
      <c r="J1798" s="139" t="e">
        <f>VLOOKUP(H1798,Stock_list!A:S,17,FALSE)</f>
        <v>#N/A</v>
      </c>
      <c r="K1798" s="51" t="e">
        <f>VLOOKUP(H1798,Stock_list!A:T,16,FALSE)</f>
        <v>#N/A</v>
      </c>
      <c r="L1798" s="4">
        <v>43845</v>
      </c>
      <c r="M1798" s="132">
        <v>4</v>
      </c>
      <c r="P1798" s="4" t="e">
        <f>VLOOKUP(H1798,Stock_list!A:Y,25,FALSE)</f>
        <v>#N/A</v>
      </c>
      <c r="Q1798" s="143"/>
      <c r="T1798" s="144"/>
      <c r="U1798" s="145" t="e">
        <f>VLOOKUP(H1798,Stock_list!A:N,14,FALSE)</f>
        <v>#N/A</v>
      </c>
    </row>
    <row r="1799" spans="1:21" ht="16.5" customHeight="1">
      <c r="A1799" s="159" t="s">
        <v>261</v>
      </c>
      <c r="B1799" s="114" t="str">
        <f>VLOOKUP(A1799,'Data pick slip'!B:F,5,FALSE)</f>
        <v>KHJ-MC100-00</v>
      </c>
      <c r="F1799" s="157" t="s">
        <v>290</v>
      </c>
      <c r="I1799" s="139" t="s">
        <v>611</v>
      </c>
      <c r="J1799" s="139" t="s">
        <v>733</v>
      </c>
      <c r="K1799" s="51" t="s">
        <v>225</v>
      </c>
      <c r="L1799" s="4">
        <v>43815</v>
      </c>
      <c r="M1799" s="132">
        <v>14</v>
      </c>
      <c r="P1799" s="4" t="s">
        <v>214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272</v>
      </c>
      <c r="B1800" s="114" t="str">
        <f>VLOOKUP(A1800,'Data pick slip'!B:F,5,FALSE)</f>
        <v>KLJ-MC100-00</v>
      </c>
      <c r="F1800" s="157" t="s">
        <v>290</v>
      </c>
      <c r="H1800" s="138">
        <v>549</v>
      </c>
      <c r="I1800" s="139" t="e">
        <f>VLOOKUP(H1800,Stock_list!A:R,18,FALSE)</f>
        <v>#N/A</v>
      </c>
      <c r="J1800" s="139" t="e">
        <f>VLOOKUP(H1800,Stock_list!A:S,17,FALSE)</f>
        <v>#N/A</v>
      </c>
      <c r="K1800" s="51" t="e">
        <f>VLOOKUP(H1800,Stock_list!A:T,16,FALSE)</f>
        <v>#N/A</v>
      </c>
      <c r="L1800" s="4">
        <v>43920</v>
      </c>
      <c r="M1800" s="132">
        <v>20</v>
      </c>
      <c r="P1800" s="4" t="e">
        <f>VLOOKUP(H1800,Stock_list!A:Y,25,FALSE)</f>
        <v>#N/A</v>
      </c>
      <c r="Q1800" s="143"/>
      <c r="T1800" s="144"/>
      <c r="U1800" s="145" t="e">
        <f>VLOOKUP(H1800,Stock_list!A:N,14,FALSE)</f>
        <v>#N/A</v>
      </c>
    </row>
    <row r="1801" spans="1:21" ht="16.5" customHeight="1">
      <c r="A1801" s="159" t="s">
        <v>265</v>
      </c>
      <c r="B1801" s="114" t="str">
        <f>VLOOKUP(A1801,'Data pick slip'!B:F,5,FALSE)</f>
        <v>KHJ-MC400-00</v>
      </c>
      <c r="F1801" s="157" t="s">
        <v>290</v>
      </c>
      <c r="I1801" s="139" t="s">
        <v>611</v>
      </c>
      <c r="J1801" s="139" t="s">
        <v>734</v>
      </c>
      <c r="K1801" s="51" t="s">
        <v>225</v>
      </c>
      <c r="L1801" s="4">
        <v>43819</v>
      </c>
      <c r="M1801" s="132">
        <v>6</v>
      </c>
      <c r="P1801" s="4" t="s">
        <v>214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266</v>
      </c>
      <c r="B1802" s="114" t="str">
        <f>VLOOKUP(A1802,'Data pick slip'!B:F,5,FALSE)</f>
        <v>KHJ-MC500-00</v>
      </c>
      <c r="F1802" s="157" t="s">
        <v>290</v>
      </c>
      <c r="I1802" s="139" t="s">
        <v>611</v>
      </c>
      <c r="J1802" s="139" t="s">
        <v>734</v>
      </c>
      <c r="K1802" s="51" t="s">
        <v>225</v>
      </c>
      <c r="L1802" s="4">
        <v>43819</v>
      </c>
      <c r="M1802" s="132">
        <v>2</v>
      </c>
      <c r="P1802" s="4" t="s">
        <v>214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267</v>
      </c>
      <c r="B1803" s="114" t="str">
        <f>VLOOKUP(A1803,'Data pick slip'!B:F,5,FALSE)</f>
        <v>KHJ-MC600-00</v>
      </c>
      <c r="F1803" s="157" t="s">
        <v>290</v>
      </c>
      <c r="I1803" s="139" t="s">
        <v>611</v>
      </c>
      <c r="J1803" s="139" t="s">
        <v>734</v>
      </c>
      <c r="K1803" s="51" t="s">
        <v>225</v>
      </c>
      <c r="L1803" s="4">
        <v>43819</v>
      </c>
      <c r="M1803" s="132">
        <v>2</v>
      </c>
      <c r="P1803" s="4" t="s">
        <v>214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261</v>
      </c>
      <c r="B1804" s="114" t="str">
        <f>VLOOKUP(A1804,'Data pick slip'!B:F,5,FALSE)</f>
        <v>KHJ-MC100-00</v>
      </c>
      <c r="F1804" s="157" t="s">
        <v>290</v>
      </c>
      <c r="I1804" s="139" t="s">
        <v>611</v>
      </c>
      <c r="J1804" s="139" t="s">
        <v>735</v>
      </c>
      <c r="K1804" s="51" t="s">
        <v>225</v>
      </c>
      <c r="L1804" s="4">
        <v>43819</v>
      </c>
      <c r="M1804" s="132">
        <v>20</v>
      </c>
      <c r="P1804" s="4" t="s">
        <v>214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264</v>
      </c>
      <c r="B1805" s="114" t="str">
        <f>VLOOKUP(A1805,'Data pick slip'!B:F,5,FALSE)</f>
        <v>KHJ-MC200-00</v>
      </c>
      <c r="F1805" s="157" t="s">
        <v>290</v>
      </c>
      <c r="I1805" s="139" t="s">
        <v>611</v>
      </c>
      <c r="J1805" s="139" t="s">
        <v>735</v>
      </c>
      <c r="K1805" s="51" t="s">
        <v>225</v>
      </c>
      <c r="L1805" s="4">
        <v>43819</v>
      </c>
      <c r="M1805" s="132">
        <v>10</v>
      </c>
      <c r="P1805" s="4" t="s">
        <v>214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265</v>
      </c>
      <c r="B1806" s="114" t="str">
        <f>VLOOKUP(A1806,'Data pick slip'!B:F,5,FALSE)</f>
        <v>KHJ-MC400-00</v>
      </c>
      <c r="F1806" s="157" t="s">
        <v>290</v>
      </c>
      <c r="I1806" s="139" t="s">
        <v>611</v>
      </c>
      <c r="J1806" s="139" t="s">
        <v>735</v>
      </c>
      <c r="K1806" s="51" t="s">
        <v>225</v>
      </c>
      <c r="L1806" s="4">
        <v>44185</v>
      </c>
      <c r="M1806" s="132">
        <v>5</v>
      </c>
      <c r="P1806" s="4" t="s">
        <v>214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266</v>
      </c>
      <c r="B1807" s="114" t="str">
        <f>VLOOKUP(A1807,'Data pick slip'!B:F,5,FALSE)</f>
        <v>KHJ-MC500-00</v>
      </c>
      <c r="F1807" s="157" t="s">
        <v>290</v>
      </c>
      <c r="I1807" s="139" t="s">
        <v>611</v>
      </c>
      <c r="J1807" s="139" t="s">
        <v>735</v>
      </c>
      <c r="K1807" s="51" t="s">
        <v>225</v>
      </c>
      <c r="L1807" s="4">
        <v>44185</v>
      </c>
      <c r="M1807" s="132">
        <v>5</v>
      </c>
      <c r="P1807" s="4" t="s">
        <v>214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266</v>
      </c>
      <c r="B1808" s="114" t="str">
        <f>VLOOKUP(A1808,'Data pick slip'!B:F,5,FALSE)</f>
        <v>KHJ-MC500-00</v>
      </c>
      <c r="F1808" s="157" t="s">
        <v>290</v>
      </c>
      <c r="I1808" s="139" t="s">
        <v>611</v>
      </c>
      <c r="J1808" s="139" t="s">
        <v>736</v>
      </c>
      <c r="K1808" s="51" t="s">
        <v>225</v>
      </c>
      <c r="L1808" s="4">
        <v>43819</v>
      </c>
      <c r="M1808" s="132">
        <v>1</v>
      </c>
      <c r="P1808" s="4" t="s">
        <v>214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267</v>
      </c>
      <c r="B1809" s="114" t="str">
        <f>VLOOKUP(A1809,'Data pick slip'!B:F,5,FALSE)</f>
        <v>KHJ-MC600-00</v>
      </c>
      <c r="F1809" s="157" t="s">
        <v>290</v>
      </c>
      <c r="I1809" s="139" t="s">
        <v>611</v>
      </c>
      <c r="J1809" s="139" t="s">
        <v>736</v>
      </c>
      <c r="K1809" s="51" t="s">
        <v>225</v>
      </c>
      <c r="L1809" s="4">
        <v>43819</v>
      </c>
      <c r="M1809" s="132">
        <v>1</v>
      </c>
      <c r="P1809" s="4" t="s">
        <v>214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261</v>
      </c>
      <c r="B1810" s="114" t="str">
        <f>VLOOKUP(A1810,'Data pick slip'!B:F,5,FALSE)</f>
        <v>KHJ-MC100-00</v>
      </c>
      <c r="F1810" s="157" t="s">
        <v>290</v>
      </c>
      <c r="H1810" s="138">
        <v>552</v>
      </c>
      <c r="I1810" s="139" t="e">
        <f>VLOOKUP(H1810,Stock_list!A:R,18,FALSE)</f>
        <v>#N/A</v>
      </c>
      <c r="J1810" s="139" t="e">
        <f>VLOOKUP(H1810,Stock_list!A:S,17,FALSE)</f>
        <v>#N/A</v>
      </c>
      <c r="K1810" s="51" t="e">
        <f>VLOOKUP(H1810,Stock_list!A:T,16,FALSE)</f>
        <v>#N/A</v>
      </c>
      <c r="L1810" s="4">
        <v>43830</v>
      </c>
      <c r="M1810" s="132">
        <v>5</v>
      </c>
      <c r="P1810" s="4" t="e">
        <f>VLOOKUP(H1810,Stock_list!A:Y,25,FALSE)</f>
        <v>#N/A</v>
      </c>
      <c r="Q1810" s="143"/>
      <c r="T1810" s="144"/>
      <c r="U1810" s="145" t="e">
        <f>VLOOKUP(H1810,Stock_list!A:N,14,FALSE)</f>
        <v>#N/A</v>
      </c>
    </row>
    <row r="1811" spans="1:21" ht="16.5" customHeight="1">
      <c r="A1811" s="159" t="s">
        <v>264</v>
      </c>
      <c r="B1811" s="114" t="str">
        <f>VLOOKUP(A1811,'Data pick slip'!B:F,5,FALSE)</f>
        <v>KHJ-MC200-00</v>
      </c>
      <c r="F1811" s="157" t="s">
        <v>290</v>
      </c>
      <c r="H1811" s="138">
        <v>552</v>
      </c>
      <c r="I1811" s="139" t="e">
        <f>VLOOKUP(H1811,Stock_list!A:R,18,FALSE)</f>
        <v>#N/A</v>
      </c>
      <c r="J1811" s="139" t="e">
        <f>VLOOKUP(H1811,Stock_list!A:S,17,FALSE)</f>
        <v>#N/A</v>
      </c>
      <c r="K1811" s="51" t="e">
        <f>VLOOKUP(H1811,Stock_list!A:T,16,FALSE)</f>
        <v>#N/A</v>
      </c>
      <c r="L1811" s="4">
        <v>43830</v>
      </c>
      <c r="M1811" s="132">
        <v>7</v>
      </c>
      <c r="P1811" s="4" t="e">
        <f>VLOOKUP(H1811,Stock_list!A:Y,25,FALSE)</f>
        <v>#N/A</v>
      </c>
      <c r="Q1811" s="143"/>
      <c r="T1811" s="144"/>
      <c r="U1811" s="145" t="e">
        <f>VLOOKUP(H1811,Stock_list!A:N,14,FALSE)</f>
        <v>#N/A</v>
      </c>
    </row>
    <row r="1812" spans="1:21" ht="16.5" customHeight="1">
      <c r="A1812" s="159" t="s">
        <v>265</v>
      </c>
      <c r="B1812" s="114" t="str">
        <f>VLOOKUP(A1812,'Data pick slip'!B:F,5,FALSE)</f>
        <v>KHJ-MC400-00</v>
      </c>
      <c r="F1812" s="157" t="s">
        <v>290</v>
      </c>
      <c r="H1812" s="138">
        <v>552</v>
      </c>
      <c r="I1812" s="139" t="e">
        <f>VLOOKUP(H1812,Stock_list!A:R,18,FALSE)</f>
        <v>#N/A</v>
      </c>
      <c r="J1812" s="139" t="e">
        <f>VLOOKUP(H1812,Stock_list!A:S,17,FALSE)</f>
        <v>#N/A</v>
      </c>
      <c r="K1812" s="51" t="e">
        <f>VLOOKUP(H1812,Stock_list!A:T,16,FALSE)</f>
        <v>#N/A</v>
      </c>
      <c r="L1812" s="4">
        <v>43830</v>
      </c>
      <c r="M1812" s="132">
        <v>2</v>
      </c>
      <c r="P1812" s="4" t="e">
        <f>VLOOKUP(H1812,Stock_list!A:Y,25,FALSE)</f>
        <v>#N/A</v>
      </c>
      <c r="Q1812" s="143"/>
      <c r="T1812" s="144"/>
      <c r="U1812" s="145" t="e">
        <f>VLOOKUP(H1812,Stock_list!A:N,14,FALSE)</f>
        <v>#N/A</v>
      </c>
    </row>
    <row r="1813" spans="1:21" ht="16.5" customHeight="1">
      <c r="A1813" s="159" t="s">
        <v>261</v>
      </c>
      <c r="B1813" s="114" t="str">
        <f>VLOOKUP(A1813,'Data pick slip'!B:F,5,FALSE)</f>
        <v>KHJ-MC100-00</v>
      </c>
      <c r="F1813" s="157" t="s">
        <v>379</v>
      </c>
      <c r="H1813" s="138">
        <v>553</v>
      </c>
      <c r="I1813" s="139" t="e">
        <f>VLOOKUP(H1813,Stock_list!A:R,18,FALSE)</f>
        <v>#N/A</v>
      </c>
      <c r="J1813" s="139" t="e">
        <f>VLOOKUP(H1813,Stock_list!A:S,17,FALSE)</f>
        <v>#N/A</v>
      </c>
      <c r="K1813" s="51" t="e">
        <f>VLOOKUP(H1813,Stock_list!A:T,16,FALSE)</f>
        <v>#N/A</v>
      </c>
      <c r="L1813" s="4">
        <v>44133</v>
      </c>
      <c r="M1813" s="132">
        <v>145</v>
      </c>
      <c r="P1813" s="4" t="e">
        <f>VLOOKUP(H1813,Stock_list!A:Y,25,FALSE)</f>
        <v>#N/A</v>
      </c>
      <c r="Q1813" s="133"/>
      <c r="T1813" s="144"/>
      <c r="U1813" s="145" t="e">
        <f>VLOOKUP(H1813,Stock_list!A:N,14,FALSE)</f>
        <v>#N/A</v>
      </c>
    </row>
    <row r="1814" spans="1:21" ht="16.5" customHeight="1">
      <c r="A1814" s="159" t="s">
        <v>264</v>
      </c>
      <c r="B1814" s="114" t="str">
        <f>VLOOKUP(A1814,'Data pick slip'!B:F,5,FALSE)</f>
        <v>KHJ-MC200-00</v>
      </c>
      <c r="F1814" s="157" t="s">
        <v>379</v>
      </c>
      <c r="H1814" s="138">
        <v>553</v>
      </c>
      <c r="I1814" s="139" t="e">
        <f>VLOOKUP(H1814,Stock_list!A:R,18,FALSE)</f>
        <v>#N/A</v>
      </c>
      <c r="J1814" s="139" t="e">
        <f>VLOOKUP(H1814,Stock_list!A:S,17,FALSE)</f>
        <v>#N/A</v>
      </c>
      <c r="K1814" s="51" t="e">
        <f>VLOOKUP(H1814,Stock_list!A:T,16,FALSE)</f>
        <v>#N/A</v>
      </c>
      <c r="L1814" s="4">
        <v>44133</v>
      </c>
      <c r="M1814" s="132">
        <v>18</v>
      </c>
      <c r="P1814" s="4" t="e">
        <f>VLOOKUP(H1814,Stock_list!A:Y,25,FALSE)</f>
        <v>#N/A</v>
      </c>
      <c r="Q1814" s="133"/>
      <c r="T1814" s="144"/>
      <c r="U1814" s="145" t="e">
        <f>VLOOKUP(H1814,Stock_list!A:N,14,FALSE)</f>
        <v>#N/A</v>
      </c>
    </row>
    <row r="1815" spans="1:21" ht="16.5" customHeight="1">
      <c r="A1815" s="159" t="s">
        <v>265</v>
      </c>
      <c r="B1815" s="114" t="str">
        <f>VLOOKUP(A1815,'Data pick slip'!B:F,5,FALSE)</f>
        <v>KHJ-MC400-00</v>
      </c>
      <c r="F1815" s="157" t="s">
        <v>379</v>
      </c>
      <c r="H1815" s="138">
        <v>553</v>
      </c>
      <c r="I1815" s="139" t="e">
        <f>VLOOKUP(H1815,Stock_list!A:R,18,FALSE)</f>
        <v>#N/A</v>
      </c>
      <c r="J1815" s="139" t="e">
        <f>VLOOKUP(H1815,Stock_list!A:S,17,FALSE)</f>
        <v>#N/A</v>
      </c>
      <c r="K1815" s="51" t="e">
        <f>VLOOKUP(H1815,Stock_list!A:T,16,FALSE)</f>
        <v>#N/A</v>
      </c>
      <c r="L1815" s="4">
        <v>44133</v>
      </c>
      <c r="M1815" s="132">
        <v>3</v>
      </c>
      <c r="P1815" s="4" t="e">
        <f>VLOOKUP(H1815,Stock_list!A:Y,25,FALSE)</f>
        <v>#N/A</v>
      </c>
      <c r="Q1815" s="133"/>
      <c r="T1815" s="144"/>
      <c r="U1815" s="145" t="e">
        <f>VLOOKUP(H1815,Stock_list!A:N,14,FALSE)</f>
        <v>#N/A</v>
      </c>
    </row>
    <row r="1816" spans="1:21" ht="16.5" customHeight="1">
      <c r="A1816" s="159" t="s">
        <v>266</v>
      </c>
      <c r="B1816" s="114" t="str">
        <f>VLOOKUP(A1816,'Data pick slip'!B:F,5,FALSE)</f>
        <v>KHJ-MC500-00</v>
      </c>
      <c r="F1816" s="157" t="s">
        <v>379</v>
      </c>
      <c r="H1816" s="138">
        <v>553</v>
      </c>
      <c r="I1816" s="139" t="e">
        <f>VLOOKUP(H1816,Stock_list!A:R,18,FALSE)</f>
        <v>#N/A</v>
      </c>
      <c r="J1816" s="139" t="e">
        <f>VLOOKUP(H1816,Stock_list!A:S,17,FALSE)</f>
        <v>#N/A</v>
      </c>
      <c r="K1816" s="51" t="e">
        <f>VLOOKUP(H1816,Stock_list!A:T,16,FALSE)</f>
        <v>#N/A</v>
      </c>
      <c r="L1816" s="4">
        <v>44133</v>
      </c>
      <c r="M1816" s="132">
        <v>1</v>
      </c>
      <c r="P1816" s="4" t="e">
        <f>VLOOKUP(H1816,Stock_list!A:Y,25,FALSE)</f>
        <v>#N/A</v>
      </c>
      <c r="Q1816" s="133"/>
      <c r="T1816" s="144"/>
      <c r="U1816" s="145" t="e">
        <f>VLOOKUP(H1816,Stock_list!A:N,14,FALSE)</f>
        <v>#N/A</v>
      </c>
    </row>
    <row r="1817" spans="1:21" ht="16.5" customHeight="1">
      <c r="A1817" s="159" t="s">
        <v>267</v>
      </c>
      <c r="B1817" s="114" t="str">
        <f>VLOOKUP(A1817,'Data pick slip'!B:F,5,FALSE)</f>
        <v>KHJ-MC600-00</v>
      </c>
      <c r="F1817" s="157" t="s">
        <v>379</v>
      </c>
      <c r="H1817" s="138">
        <v>553</v>
      </c>
      <c r="I1817" s="139" t="e">
        <f>VLOOKUP(H1817,Stock_list!A:R,18,FALSE)</f>
        <v>#N/A</v>
      </c>
      <c r="J1817" s="139" t="e">
        <f>VLOOKUP(H1817,Stock_list!A:S,17,FALSE)</f>
        <v>#N/A</v>
      </c>
      <c r="K1817" s="51" t="e">
        <f>VLOOKUP(H1817,Stock_list!A:T,16,FALSE)</f>
        <v>#N/A</v>
      </c>
      <c r="L1817" s="4">
        <v>44133</v>
      </c>
      <c r="M1817" s="132">
        <v>1</v>
      </c>
      <c r="P1817" s="4" t="e">
        <f>VLOOKUP(H1817,Stock_list!A:Y,25,FALSE)</f>
        <v>#N/A</v>
      </c>
      <c r="Q1817" s="133"/>
      <c r="T1817" s="144"/>
      <c r="U1817" s="145" t="e">
        <f>VLOOKUP(H1817,Stock_list!A:N,14,FALSE)</f>
        <v>#N/A</v>
      </c>
    </row>
    <row r="1818" spans="1:21" ht="16.5" customHeight="1">
      <c r="A1818" s="159" t="s">
        <v>261</v>
      </c>
      <c r="B1818" s="114" t="str">
        <f>VLOOKUP(A1818,'Data pick slip'!B:F,5,FALSE)</f>
        <v>KHJ-MC100-00</v>
      </c>
      <c r="F1818" s="157" t="s">
        <v>290</v>
      </c>
      <c r="H1818" s="138">
        <v>553</v>
      </c>
      <c r="I1818" s="139" t="e">
        <f>VLOOKUP(H1818,Stock_list!A:R,18,FALSE)</f>
        <v>#N/A</v>
      </c>
      <c r="J1818" s="139" t="e">
        <f>VLOOKUP(H1818,Stock_list!A:S,17,FALSE)</f>
        <v>#N/A</v>
      </c>
      <c r="K1818" s="51" t="e">
        <f>VLOOKUP(H1818,Stock_list!A:T,16,FALSE)</f>
        <v>#N/A</v>
      </c>
      <c r="L1818" s="4">
        <v>44092</v>
      </c>
      <c r="M1818" s="51"/>
      <c r="O1818" s="132">
        <f>10-10</f>
        <v>0</v>
      </c>
      <c r="P1818" s="4" t="e">
        <f>VLOOKUP(H1818,Stock_list!A:Y,25,FALSE)</f>
        <v>#N/A</v>
      </c>
      <c r="Q1818" s="133"/>
      <c r="T1818" s="144"/>
      <c r="U1818" s="145" t="e">
        <f>VLOOKUP(H1818,Stock_list!A:N,14,FALSE)</f>
        <v>#N/A</v>
      </c>
    </row>
    <row r="1819" spans="1:21" ht="16.5" customHeight="1">
      <c r="A1819" s="159" t="s">
        <v>264</v>
      </c>
      <c r="B1819" s="114" t="str">
        <f>VLOOKUP(A1819,'Data pick slip'!B:F,5,FALSE)</f>
        <v>KHJ-MC200-00</v>
      </c>
      <c r="F1819" s="157" t="s">
        <v>290</v>
      </c>
      <c r="H1819" s="138">
        <v>553</v>
      </c>
      <c r="I1819" s="139" t="e">
        <f>VLOOKUP(H1819,Stock_list!A:R,18,FALSE)</f>
        <v>#N/A</v>
      </c>
      <c r="J1819" s="139" t="e">
        <f>VLOOKUP(H1819,Stock_list!A:S,17,FALSE)</f>
        <v>#N/A</v>
      </c>
      <c r="K1819" s="51" t="e">
        <f>VLOOKUP(H1819,Stock_list!A:T,16,FALSE)</f>
        <v>#N/A</v>
      </c>
      <c r="L1819" s="4">
        <v>44092</v>
      </c>
      <c r="O1819" s="132">
        <f>2-2</f>
        <v>0</v>
      </c>
      <c r="P1819" s="4" t="e">
        <f>VLOOKUP(H1819,Stock_list!A:Y,25,FALSE)</f>
        <v>#N/A</v>
      </c>
      <c r="Q1819" s="133"/>
      <c r="T1819" s="144"/>
      <c r="U1819" s="145" t="e">
        <f>VLOOKUP(H1819,Stock_list!A:N,14,FALSE)</f>
        <v>#N/A</v>
      </c>
    </row>
    <row r="1820" spans="1:21" ht="16.5" customHeight="1">
      <c r="A1820" s="159" t="s">
        <v>265</v>
      </c>
      <c r="B1820" s="114" t="str">
        <f>VLOOKUP(A1820,'Data pick slip'!B:F,5,FALSE)</f>
        <v>KHJ-MC400-00</v>
      </c>
      <c r="F1820" s="157" t="s">
        <v>290</v>
      </c>
      <c r="H1820" s="138">
        <v>553</v>
      </c>
      <c r="I1820" s="139" t="e">
        <f>VLOOKUP(H1820,Stock_list!A:R,18,FALSE)</f>
        <v>#N/A</v>
      </c>
      <c r="J1820" s="139" t="e">
        <f>VLOOKUP(H1820,Stock_list!A:S,17,FALSE)</f>
        <v>#N/A</v>
      </c>
      <c r="K1820" s="51" t="e">
        <f>VLOOKUP(H1820,Stock_list!A:T,16,FALSE)</f>
        <v>#N/A</v>
      </c>
      <c r="L1820" s="4">
        <v>44092</v>
      </c>
      <c r="O1820" s="132">
        <f>2-2</f>
        <v>0</v>
      </c>
      <c r="P1820" s="4" t="e">
        <f>VLOOKUP(H1820,Stock_list!A:Y,25,FALSE)</f>
        <v>#N/A</v>
      </c>
      <c r="Q1820" s="133"/>
      <c r="T1820" s="144"/>
      <c r="U1820" s="145" t="e">
        <f>VLOOKUP(H1820,Stock_list!A:N,14,FALSE)</f>
        <v>#N/A</v>
      </c>
    </row>
    <row r="1821" spans="1:21" ht="16.5" customHeight="1">
      <c r="A1821" s="159" t="s">
        <v>267</v>
      </c>
      <c r="B1821" s="114" t="str">
        <f>VLOOKUP(A1821,'Data pick slip'!B:F,5,FALSE)</f>
        <v>KHJ-MC600-00</v>
      </c>
      <c r="F1821" s="157" t="s">
        <v>290</v>
      </c>
      <c r="H1821" s="138">
        <v>553</v>
      </c>
      <c r="I1821" s="139" t="e">
        <f>VLOOKUP(H1821,Stock_list!A:R,18,FALSE)</f>
        <v>#N/A</v>
      </c>
      <c r="J1821" s="139" t="e">
        <f>VLOOKUP(H1821,Stock_list!A:S,17,FALSE)</f>
        <v>#N/A</v>
      </c>
      <c r="K1821" s="51" t="e">
        <f>VLOOKUP(H1821,Stock_list!A:T,16,FALSE)</f>
        <v>#N/A</v>
      </c>
      <c r="L1821" s="4">
        <v>44092</v>
      </c>
      <c r="O1821" s="132">
        <f>1-1</f>
        <v>0</v>
      </c>
      <c r="P1821" s="4" t="e">
        <f>VLOOKUP(H1821,Stock_list!A:Y,25,FALSE)</f>
        <v>#N/A</v>
      </c>
      <c r="Q1821" s="133"/>
      <c r="T1821" s="144"/>
      <c r="U1821" s="145" t="e">
        <f>VLOOKUP(H1821,Stock_list!A:N,14,FALSE)</f>
        <v>#N/A</v>
      </c>
    </row>
    <row r="1822" spans="1:21" ht="16.5" customHeight="1">
      <c r="A1822" s="159" t="s">
        <v>261</v>
      </c>
      <c r="B1822" s="114" t="str">
        <f>VLOOKUP(A1822,'Data pick slip'!B:F,5,FALSE)</f>
        <v>KHJ-MC100-00</v>
      </c>
      <c r="F1822" s="157" t="s">
        <v>290</v>
      </c>
      <c r="H1822" s="138">
        <v>553</v>
      </c>
      <c r="I1822" s="139" t="e">
        <f>VLOOKUP(H1822,Stock_list!A:R,18,FALSE)</f>
        <v>#N/A</v>
      </c>
      <c r="J1822" s="139" t="e">
        <f>VLOOKUP(H1822,Stock_list!A:S,17,FALSE)</f>
        <v>#N/A</v>
      </c>
      <c r="K1822" s="51" t="e">
        <f>VLOOKUP(H1822,Stock_list!A:T,16,FALSE)</f>
        <v>#N/A</v>
      </c>
      <c r="L1822" s="4">
        <v>44101</v>
      </c>
      <c r="O1822" s="132">
        <f>10-10</f>
        <v>0</v>
      </c>
      <c r="P1822" s="4" t="e">
        <f>VLOOKUP(H1822,Stock_list!A:Y,25,FALSE)</f>
        <v>#N/A</v>
      </c>
      <c r="Q1822" s="133"/>
      <c r="T1822" s="144"/>
      <c r="U1822" s="145" t="e">
        <f>VLOOKUP(H1822,Stock_list!A:N,14,FALSE)</f>
        <v>#N/A</v>
      </c>
    </row>
    <row r="1823" spans="1:21" ht="16.5" customHeight="1">
      <c r="A1823" s="159" t="s">
        <v>266</v>
      </c>
      <c r="B1823" s="114" t="str">
        <f>VLOOKUP(A1823,'Data pick slip'!B:F,5,FALSE)</f>
        <v>KHJ-MC500-00</v>
      </c>
      <c r="F1823" s="157" t="s">
        <v>290</v>
      </c>
      <c r="H1823" s="138">
        <v>553</v>
      </c>
      <c r="I1823" s="139" t="e">
        <f>VLOOKUP(H1823,Stock_list!A:R,18,FALSE)</f>
        <v>#N/A</v>
      </c>
      <c r="J1823" s="139" t="e">
        <f>VLOOKUP(H1823,Stock_list!A:S,17,FALSE)</f>
        <v>#N/A</v>
      </c>
      <c r="K1823" s="51" t="e">
        <f>VLOOKUP(H1823,Stock_list!A:T,16,FALSE)</f>
        <v>#N/A</v>
      </c>
      <c r="L1823" s="4">
        <v>44101</v>
      </c>
      <c r="O1823" s="132">
        <f>1-1</f>
        <v>0</v>
      </c>
      <c r="P1823" s="4" t="e">
        <f>VLOOKUP(H1823,Stock_list!A:Y,25,FALSE)</f>
        <v>#N/A</v>
      </c>
      <c r="Q1823" s="133"/>
      <c r="T1823" s="144"/>
      <c r="U1823" s="145" t="e">
        <f>VLOOKUP(H1823,Stock_list!A:N,14,FALSE)</f>
        <v>#N/A</v>
      </c>
    </row>
    <row r="1824" spans="1:21" ht="16.5" customHeight="1">
      <c r="A1824" s="159" t="s">
        <v>272</v>
      </c>
      <c r="B1824" s="114" t="str">
        <f>VLOOKUP(A1824,'Data pick slip'!B:F,5,FALSE)</f>
        <v>KLJ-MC100-00</v>
      </c>
      <c r="F1824" s="157" t="s">
        <v>290</v>
      </c>
      <c r="H1824" s="138">
        <v>558</v>
      </c>
      <c r="I1824" s="139" t="e">
        <f>VLOOKUP(H1824,Stock_list!A:R,18,FALSE)</f>
        <v>#N/A</v>
      </c>
      <c r="J1824" s="139" t="e">
        <f>VLOOKUP(H1824,Stock_list!A:S,17,FALSE)</f>
        <v>#N/A</v>
      </c>
      <c r="K1824" s="51" t="e">
        <f>VLOOKUP(H1824,Stock_list!A:T,16,FALSE)</f>
        <v>#N/A</v>
      </c>
      <c r="L1824" s="4">
        <v>43908</v>
      </c>
      <c r="M1824" s="140">
        <v>40</v>
      </c>
      <c r="P1824" s="4" t="e">
        <f>VLOOKUP(H1824,Stock_list!A:Y,25,FALSE)</f>
        <v>#N/A</v>
      </c>
      <c r="Q1824" s="143"/>
      <c r="T1824" s="144"/>
      <c r="U1824" s="145" t="e">
        <f>VLOOKUP(H1824,Stock_list!A:N,14,FALSE)</f>
        <v>#N/A</v>
      </c>
    </row>
    <row r="1825" spans="1:21" ht="16.5" customHeight="1">
      <c r="A1825" s="159" t="s">
        <v>271</v>
      </c>
      <c r="B1825" s="114" t="str">
        <f>VLOOKUP(A1825,'Data pick slip'!B:F,5,FALSE)</f>
        <v>KLJ-MCN00-20</v>
      </c>
      <c r="F1825" s="157" t="s">
        <v>379</v>
      </c>
      <c r="H1825" s="138">
        <v>562</v>
      </c>
      <c r="I1825" s="139" t="e">
        <f>VLOOKUP(H1825,Stock_list!A:R,18,FALSE)</f>
        <v>#N/A</v>
      </c>
      <c r="J1825" s="139" t="e">
        <f>VLOOKUP(H1825,Stock_list!A:S,17,FALSE)</f>
        <v>#N/A</v>
      </c>
      <c r="K1825" s="51" t="e">
        <f>VLOOKUP(H1825,Stock_list!A:T,16,FALSE)</f>
        <v>#N/A</v>
      </c>
      <c r="L1825" s="4">
        <v>43946</v>
      </c>
      <c r="M1825" s="132">
        <v>5</v>
      </c>
      <c r="P1825" s="4" t="e">
        <f>VLOOKUP(H1825,Stock_list!A:Y,25,FALSE)</f>
        <v>#N/A</v>
      </c>
      <c r="Q1825" s="143"/>
      <c r="T1825" s="144"/>
      <c r="U1825" s="145" t="e">
        <f>VLOOKUP(H1825,Stock_list!A:N,14,FALSE)</f>
        <v>#N/A</v>
      </c>
    </row>
    <row r="1826" spans="1:21" ht="16.5" customHeight="1">
      <c r="A1826" s="159" t="s">
        <v>272</v>
      </c>
      <c r="B1826" s="114" t="str">
        <f>VLOOKUP(A1826,'Data pick slip'!B:F,5,FALSE)</f>
        <v>KLJ-MC100-00</v>
      </c>
      <c r="F1826" s="157" t="s">
        <v>379</v>
      </c>
      <c r="H1826" s="138">
        <v>562</v>
      </c>
      <c r="I1826" s="139" t="e">
        <f>VLOOKUP(H1826,Stock_list!A:R,18,FALSE)</f>
        <v>#N/A</v>
      </c>
      <c r="J1826" s="139" t="e">
        <f>VLOOKUP(H1826,Stock_list!A:S,17,FALSE)</f>
        <v>#N/A</v>
      </c>
      <c r="K1826" s="51" t="e">
        <f>VLOOKUP(H1826,Stock_list!A:T,16,FALSE)</f>
        <v>#N/A</v>
      </c>
      <c r="L1826" s="4">
        <v>43844</v>
      </c>
      <c r="M1826" s="132">
        <v>50</v>
      </c>
      <c r="P1826" s="4" t="e">
        <f>VLOOKUP(H1826,Stock_list!A:Y,25,FALSE)</f>
        <v>#N/A</v>
      </c>
      <c r="Q1826" s="143"/>
      <c r="T1826" s="144"/>
      <c r="U1826" s="145" t="e">
        <f>VLOOKUP(H1826,Stock_list!A:N,14,FALSE)</f>
        <v>#N/A</v>
      </c>
    </row>
    <row r="1827" spans="1:21" ht="16.5" customHeight="1">
      <c r="A1827" s="159" t="s">
        <v>273</v>
      </c>
      <c r="B1827" s="114" t="str">
        <f>VLOOKUP(A1827,'Data pick slip'!B:F,5,FALSE)</f>
        <v>KLJ-MC200-00</v>
      </c>
      <c r="F1827" s="157" t="s">
        <v>379</v>
      </c>
      <c r="H1827" s="138">
        <v>562</v>
      </c>
      <c r="I1827" s="139" t="e">
        <f>VLOOKUP(H1827,Stock_list!A:R,18,FALSE)</f>
        <v>#N/A</v>
      </c>
      <c r="J1827" s="139" t="e">
        <f>VLOOKUP(H1827,Stock_list!A:S,17,FALSE)</f>
        <v>#N/A</v>
      </c>
      <c r="K1827" s="51" t="e">
        <f>VLOOKUP(H1827,Stock_list!A:T,16,FALSE)</f>
        <v>#N/A</v>
      </c>
      <c r="L1827" s="4">
        <v>43844</v>
      </c>
      <c r="M1827" s="132">
        <v>10</v>
      </c>
      <c r="P1827" s="4" t="e">
        <f>VLOOKUP(H1827,Stock_list!A:Y,25,FALSE)</f>
        <v>#N/A</v>
      </c>
      <c r="T1827" s="144"/>
      <c r="U1827" s="145" t="e">
        <f>VLOOKUP(H1827,Stock_list!A:N,14,FALSE)</f>
        <v>#N/A</v>
      </c>
    </row>
    <row r="1828" spans="1:21" ht="16.5" customHeight="1">
      <c r="A1828" s="159" t="s">
        <v>261</v>
      </c>
      <c r="B1828" s="114" t="str">
        <f>VLOOKUP(A1828,'Data pick slip'!B:F,5,FALSE)</f>
        <v>KHJ-MC100-00</v>
      </c>
      <c r="F1828" s="157" t="s">
        <v>290</v>
      </c>
      <c r="I1828" s="139" t="s">
        <v>611</v>
      </c>
      <c r="J1828" s="139" t="s">
        <v>737</v>
      </c>
      <c r="K1828" s="51" t="s">
        <v>225</v>
      </c>
      <c r="L1828" s="4">
        <v>43824</v>
      </c>
      <c r="M1828" s="140">
        <v>4</v>
      </c>
      <c r="P1828" s="4" t="s">
        <v>214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261</v>
      </c>
      <c r="B1829" s="114" t="str">
        <f>VLOOKUP(A1829,'Data pick slip'!B:F,5,FALSE)</f>
        <v>KHJ-MC100-00</v>
      </c>
      <c r="F1829" s="157" t="s">
        <v>379</v>
      </c>
      <c r="I1829" s="139" t="s">
        <v>533</v>
      </c>
      <c r="J1829" s="139" t="s">
        <v>738</v>
      </c>
      <c r="K1829" s="51" t="s">
        <v>225</v>
      </c>
      <c r="L1829" s="4">
        <v>43830</v>
      </c>
      <c r="M1829" s="140">
        <v>50</v>
      </c>
      <c r="P1829" s="4" t="s">
        <v>214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264</v>
      </c>
      <c r="B1830" s="114" t="str">
        <f>VLOOKUP(A1830,'Data pick slip'!B:F,5,FALSE)</f>
        <v>KHJ-MC200-00</v>
      </c>
      <c r="F1830" s="157" t="s">
        <v>379</v>
      </c>
      <c r="I1830" s="139" t="s">
        <v>533</v>
      </c>
      <c r="J1830" s="139" t="s">
        <v>738</v>
      </c>
      <c r="K1830" s="51" t="s">
        <v>225</v>
      </c>
      <c r="L1830" s="4">
        <v>43830</v>
      </c>
      <c r="M1830" s="140">
        <v>80</v>
      </c>
      <c r="P1830" s="4" t="s">
        <v>214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265</v>
      </c>
      <c r="B1831" s="114" t="str">
        <f>VLOOKUP(A1831,'Data pick slip'!B:F,5,FALSE)</f>
        <v>KHJ-MC400-00</v>
      </c>
      <c r="F1831" s="157" t="s">
        <v>379</v>
      </c>
      <c r="I1831" s="139" t="s">
        <v>533</v>
      </c>
      <c r="J1831" s="139" t="s">
        <v>738</v>
      </c>
      <c r="K1831" s="51" t="s">
        <v>225</v>
      </c>
      <c r="L1831" s="4">
        <v>43830</v>
      </c>
      <c r="M1831" s="140">
        <v>14</v>
      </c>
      <c r="P1831" s="4" t="s">
        <v>214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276</v>
      </c>
      <c r="B1832" s="114" t="str">
        <f>VLOOKUP(A1832,'Data pick slip'!B:F,5,FALSE)</f>
        <v>KLJ-MC600-00</v>
      </c>
      <c r="F1832" s="157" t="s">
        <v>379</v>
      </c>
      <c r="I1832" s="139" t="s">
        <v>533</v>
      </c>
      <c r="J1832" s="139" t="s">
        <v>738</v>
      </c>
      <c r="K1832" s="51" t="s">
        <v>225</v>
      </c>
      <c r="L1832" s="4">
        <v>43830</v>
      </c>
      <c r="M1832" s="140">
        <v>3</v>
      </c>
      <c r="P1832" s="4" t="s">
        <v>214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266</v>
      </c>
      <c r="B1833" s="114" t="str">
        <f>VLOOKUP(A1833,'Data pick slip'!B:F,5,FALSE)</f>
        <v>KHJ-MC500-00</v>
      </c>
      <c r="F1833" s="157" t="s">
        <v>379</v>
      </c>
      <c r="I1833" s="139" t="s">
        <v>533</v>
      </c>
      <c r="J1833" s="139" t="s">
        <v>739</v>
      </c>
      <c r="K1833" s="51" t="s">
        <v>225</v>
      </c>
      <c r="L1833" s="4">
        <v>43830</v>
      </c>
      <c r="M1833" s="140">
        <v>5</v>
      </c>
      <c r="P1833" s="4" t="s">
        <v>214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261</v>
      </c>
      <c r="B1834" s="114" t="str">
        <f>VLOOKUP(A1834,'Data pick slip'!B:F,5,FALSE)</f>
        <v>KHJ-MC100-00</v>
      </c>
      <c r="F1834" s="157" t="s">
        <v>379</v>
      </c>
      <c r="I1834" s="139" t="s">
        <v>533</v>
      </c>
      <c r="J1834" s="139" t="s">
        <v>738</v>
      </c>
      <c r="K1834" s="51" t="s">
        <v>225</v>
      </c>
      <c r="L1834" s="4">
        <v>43829</v>
      </c>
      <c r="M1834" s="140">
        <v>150</v>
      </c>
      <c r="P1834" s="4" t="s">
        <v>214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261</v>
      </c>
      <c r="B1835" s="114" t="str">
        <f>VLOOKUP(A1835,'Data pick slip'!B:F,5,FALSE)</f>
        <v>KHJ-MC100-00</v>
      </c>
      <c r="F1835" s="157" t="s">
        <v>379</v>
      </c>
      <c r="H1835" s="138">
        <v>564</v>
      </c>
      <c r="I1835" s="139" t="e">
        <f>VLOOKUP(H1835,Stock_list!A:R,18,FALSE)</f>
        <v>#N/A</v>
      </c>
      <c r="J1835" s="139" t="e">
        <f>VLOOKUP(H1835,Stock_list!A:S,17,FALSE)</f>
        <v>#N/A</v>
      </c>
      <c r="K1835" s="51" t="e">
        <f>VLOOKUP(H1835,Stock_list!A:T,16,FALSE)</f>
        <v>#N/A</v>
      </c>
      <c r="L1835" s="4">
        <v>43839</v>
      </c>
      <c r="M1835" s="132">
        <v>100</v>
      </c>
      <c r="P1835" s="4" t="e">
        <f>VLOOKUP(H1835,Stock_list!A:Y,25,FALSE)</f>
        <v>#N/A</v>
      </c>
      <c r="Q1835" s="143"/>
      <c r="T1835" s="144"/>
      <c r="U1835" s="145" t="e">
        <f>VLOOKUP(H1835,Stock_list!A:N,14,FALSE)</f>
        <v>#N/A</v>
      </c>
    </row>
    <row r="1836" spans="1:21" ht="16.5" customHeight="1">
      <c r="A1836" s="159" t="s">
        <v>264</v>
      </c>
      <c r="B1836" s="114" t="str">
        <f>VLOOKUP(A1836,'Data pick slip'!B:F,5,FALSE)</f>
        <v>KHJ-MC200-00</v>
      </c>
      <c r="F1836" s="157" t="s">
        <v>379</v>
      </c>
      <c r="H1836" s="138">
        <v>564</v>
      </c>
      <c r="I1836" s="139" t="e">
        <f>VLOOKUP(H1836,Stock_list!A:R,18,FALSE)</f>
        <v>#N/A</v>
      </c>
      <c r="J1836" s="139" t="e">
        <f>VLOOKUP(H1836,Stock_list!A:S,17,FALSE)</f>
        <v>#N/A</v>
      </c>
      <c r="K1836" s="51" t="e">
        <f>VLOOKUP(H1836,Stock_list!A:T,16,FALSE)</f>
        <v>#N/A</v>
      </c>
      <c r="L1836" s="4">
        <v>43839</v>
      </c>
      <c r="M1836" s="132">
        <v>20</v>
      </c>
      <c r="P1836" s="4" t="e">
        <f>VLOOKUP(H1836,Stock_list!A:Y,25,FALSE)</f>
        <v>#N/A</v>
      </c>
      <c r="Q1836" s="143"/>
      <c r="T1836" s="144"/>
      <c r="U1836" s="145" t="e">
        <f>VLOOKUP(H1836,Stock_list!A:N,14,FALSE)</f>
        <v>#N/A</v>
      </c>
    </row>
    <row r="1837" spans="1:21" ht="16.5" customHeight="1">
      <c r="A1837" s="159" t="s">
        <v>265</v>
      </c>
      <c r="B1837" s="114" t="str">
        <f>VLOOKUP(A1837,'Data pick slip'!B:F,5,FALSE)</f>
        <v>KHJ-MC400-00</v>
      </c>
      <c r="F1837" s="157" t="s">
        <v>379</v>
      </c>
      <c r="H1837" s="138">
        <v>564</v>
      </c>
      <c r="I1837" s="139" t="e">
        <f>VLOOKUP(H1837,Stock_list!A:R,18,FALSE)</f>
        <v>#N/A</v>
      </c>
      <c r="J1837" s="139" t="e">
        <f>VLOOKUP(H1837,Stock_list!A:S,17,FALSE)</f>
        <v>#N/A</v>
      </c>
      <c r="K1837" s="51" t="e">
        <f>VLOOKUP(H1837,Stock_list!A:T,16,FALSE)</f>
        <v>#N/A</v>
      </c>
      <c r="L1837" s="4">
        <v>43839</v>
      </c>
      <c r="M1837" s="132">
        <v>3</v>
      </c>
      <c r="P1837" s="4" t="e">
        <f>VLOOKUP(H1837,Stock_list!A:Y,25,FALSE)</f>
        <v>#N/A</v>
      </c>
      <c r="Q1837" s="143"/>
      <c r="T1837" s="144"/>
      <c r="U1837" s="145" t="e">
        <f>VLOOKUP(H1837,Stock_list!A:N,14,FALSE)</f>
        <v>#N/A</v>
      </c>
    </row>
    <row r="1838" spans="1:21" ht="16.5" customHeight="1">
      <c r="A1838" s="159" t="s">
        <v>261</v>
      </c>
      <c r="B1838" s="114" t="str">
        <f>VLOOKUP(A1838,'Data pick slip'!B:F,5,FALSE)</f>
        <v>KHJ-MC100-00</v>
      </c>
      <c r="F1838" s="157" t="s">
        <v>379</v>
      </c>
      <c r="H1838" s="138">
        <v>566</v>
      </c>
      <c r="I1838" s="139" t="e">
        <f>VLOOKUP(H1838,Stock_list!A:R,18,FALSE)</f>
        <v>#N/A</v>
      </c>
      <c r="J1838" s="139" t="e">
        <f>VLOOKUP(H1838,Stock_list!A:S,17,FALSE)</f>
        <v>#N/A</v>
      </c>
      <c r="K1838" s="51" t="e">
        <f>VLOOKUP(H1838,Stock_list!A:T,16,FALSE)</f>
        <v>#N/A</v>
      </c>
      <c r="L1838" s="4">
        <v>43902</v>
      </c>
      <c r="M1838" s="132">
        <v>20</v>
      </c>
      <c r="P1838" s="4" t="e">
        <f>VLOOKUP(H1838,Stock_list!A:Y,25,FALSE)</f>
        <v>#N/A</v>
      </c>
      <c r="Q1838" s="143"/>
      <c r="T1838" s="144"/>
      <c r="U1838" s="145" t="e">
        <f>VLOOKUP(H1838,Stock_list!A:N,14,FALSE)</f>
        <v>#N/A</v>
      </c>
    </row>
    <row r="1839" spans="1:21" ht="16.5" customHeight="1">
      <c r="A1839" s="159" t="s">
        <v>261</v>
      </c>
      <c r="B1839" s="114" t="str">
        <f>VLOOKUP(A1839,'Data pick slip'!B:F,5,FALSE)</f>
        <v>KHJ-MC100-00</v>
      </c>
      <c r="F1839" s="157" t="s">
        <v>379</v>
      </c>
      <c r="H1839" s="138">
        <v>568</v>
      </c>
      <c r="I1839" s="139" t="e">
        <f>VLOOKUP(H1839,Stock_list!A:R,18,FALSE)</f>
        <v>#N/A</v>
      </c>
      <c r="J1839" s="139" t="e">
        <f>VLOOKUP(H1839,Stock_list!A:S,17,FALSE)</f>
        <v>#N/A</v>
      </c>
      <c r="K1839" s="51" t="e">
        <f>VLOOKUP(H1839,Stock_list!A:T,16,FALSE)</f>
        <v>#N/A</v>
      </c>
      <c r="L1839" s="4">
        <v>43900</v>
      </c>
      <c r="M1839" s="132">
        <v>45</v>
      </c>
      <c r="P1839" s="4" t="e">
        <f>VLOOKUP(H1839,Stock_list!A:Y,25,FALSE)</f>
        <v>#N/A</v>
      </c>
      <c r="Q1839" s="143"/>
      <c r="T1839" s="144"/>
      <c r="U1839" s="145" t="e">
        <f>VLOOKUP(H1839,Stock_list!A:N,14,FALSE)</f>
        <v>#N/A</v>
      </c>
    </row>
    <row r="1840" spans="1:21" ht="16.5" customHeight="1">
      <c r="A1840" s="159" t="s">
        <v>264</v>
      </c>
      <c r="B1840" s="114" t="str">
        <f>VLOOKUP(A1840,'Data pick slip'!B:F,5,FALSE)</f>
        <v>KHJ-MC200-00</v>
      </c>
      <c r="F1840" s="157" t="s">
        <v>379</v>
      </c>
      <c r="H1840" s="138">
        <v>568</v>
      </c>
      <c r="I1840" s="139" t="e">
        <f>VLOOKUP(H1840,Stock_list!A:R,18,FALSE)</f>
        <v>#N/A</v>
      </c>
      <c r="J1840" s="139" t="e">
        <f>VLOOKUP(H1840,Stock_list!A:S,17,FALSE)</f>
        <v>#N/A</v>
      </c>
      <c r="K1840" s="51" t="e">
        <f>VLOOKUP(H1840,Stock_list!A:T,16,FALSE)</f>
        <v>#N/A</v>
      </c>
      <c r="L1840" s="4">
        <v>43900</v>
      </c>
      <c r="M1840" s="132">
        <v>8</v>
      </c>
      <c r="P1840" s="4" t="e">
        <f>VLOOKUP(H1840,Stock_list!A:Y,25,FALSE)</f>
        <v>#N/A</v>
      </c>
      <c r="Q1840" s="143"/>
      <c r="T1840" s="144"/>
      <c r="U1840" s="145" t="e">
        <f>VLOOKUP(H1840,Stock_list!A:N,14,FALSE)</f>
        <v>#N/A</v>
      </c>
    </row>
    <row r="1841" spans="1:21" ht="16.5" customHeight="1">
      <c r="A1841" s="159" t="s">
        <v>265</v>
      </c>
      <c r="B1841" s="114" t="str">
        <f>VLOOKUP(A1841,'Data pick slip'!B:F,5,FALSE)</f>
        <v>KHJ-MC400-00</v>
      </c>
      <c r="F1841" s="157" t="s">
        <v>379</v>
      </c>
      <c r="H1841" s="138">
        <v>568</v>
      </c>
      <c r="I1841" s="139" t="e">
        <f>VLOOKUP(H1841,Stock_list!A:R,18,FALSE)</f>
        <v>#N/A</v>
      </c>
      <c r="J1841" s="139" t="e">
        <f>VLOOKUP(H1841,Stock_list!A:S,17,FALSE)</f>
        <v>#N/A</v>
      </c>
      <c r="K1841" s="51" t="e">
        <f>VLOOKUP(H1841,Stock_list!A:T,16,FALSE)</f>
        <v>#N/A</v>
      </c>
      <c r="L1841" s="4">
        <v>43900</v>
      </c>
      <c r="M1841" s="132">
        <v>5</v>
      </c>
      <c r="P1841" s="4" t="e">
        <f>VLOOKUP(H1841,Stock_list!A:Y,25,FALSE)</f>
        <v>#N/A</v>
      </c>
      <c r="Q1841" s="143"/>
      <c r="T1841" s="144"/>
      <c r="U1841" s="145" t="e">
        <f>VLOOKUP(H1841,Stock_list!A:N,14,FALSE)</f>
        <v>#N/A</v>
      </c>
    </row>
    <row r="1842" spans="1:21" ht="16.5" customHeight="1">
      <c r="A1842" s="159" t="s">
        <v>272</v>
      </c>
      <c r="B1842" s="114" t="str">
        <f>VLOOKUP(A1842,'Data pick slip'!B:F,5,FALSE)</f>
        <v>KLJ-MC100-00</v>
      </c>
      <c r="F1842" s="157" t="s">
        <v>290</v>
      </c>
      <c r="H1842" s="138">
        <v>563</v>
      </c>
      <c r="I1842" s="139" t="e">
        <f>VLOOKUP(H1842,Stock_list!A:R,18,FALSE)</f>
        <v>#N/A</v>
      </c>
      <c r="J1842" s="139" t="e">
        <f>VLOOKUP(H1842,Stock_list!A:S,17,FALSE)</f>
        <v>#N/A</v>
      </c>
      <c r="K1842" s="51" t="e">
        <f>VLOOKUP(H1842,Stock_list!A:T,16,FALSE)</f>
        <v>#N/A</v>
      </c>
      <c r="L1842" s="4">
        <v>44015</v>
      </c>
      <c r="M1842" s="132">
        <v>22</v>
      </c>
      <c r="P1842" s="4" t="e">
        <f>VLOOKUP(H1842,Stock_list!A:Y,25,FALSE)</f>
        <v>#N/A</v>
      </c>
      <c r="Q1842" s="143"/>
      <c r="T1842" s="144"/>
      <c r="U1842" s="145" t="e">
        <f>VLOOKUP(H1842,Stock_list!A:N,14,FALSE)</f>
        <v>#N/A</v>
      </c>
    </row>
    <row r="1843" spans="1:21" ht="16.5" customHeight="1">
      <c r="A1843" s="159" t="s">
        <v>261</v>
      </c>
      <c r="B1843" s="114" t="str">
        <f>VLOOKUP(A1843,'Data pick slip'!B:F,5,FALSE)</f>
        <v>KHJ-MC100-00</v>
      </c>
      <c r="F1843" s="157" t="s">
        <v>379</v>
      </c>
      <c r="H1843" s="138">
        <v>574</v>
      </c>
      <c r="I1843" s="139" t="e">
        <f>VLOOKUP(H1843,Stock_list!A:R,18,FALSE)</f>
        <v>#N/A</v>
      </c>
      <c r="J1843" s="139" t="e">
        <f>VLOOKUP(H1843,Stock_list!A:S,17,FALSE)</f>
        <v>#N/A</v>
      </c>
      <c r="K1843" s="51" t="e">
        <f>VLOOKUP(H1843,Stock_list!A:T,16,FALSE)</f>
        <v>#N/A</v>
      </c>
      <c r="L1843" s="4">
        <v>43966</v>
      </c>
      <c r="M1843" s="132">
        <v>15</v>
      </c>
      <c r="P1843" s="4" t="e">
        <f>VLOOKUP(H1843,Stock_list!A:Y,25,FALSE)</f>
        <v>#N/A</v>
      </c>
      <c r="Q1843" s="143"/>
      <c r="T1843" s="144"/>
      <c r="U1843" s="145" t="e">
        <f>VLOOKUP(H1843,Stock_list!A:N,14,FALSE)</f>
        <v>#N/A</v>
      </c>
    </row>
    <row r="1844" spans="1:21" ht="16.5" customHeight="1">
      <c r="A1844" s="159" t="s">
        <v>274</v>
      </c>
      <c r="B1844" s="114" t="str">
        <f>VLOOKUP(A1844,'Data pick slip'!B:F,5,FALSE)</f>
        <v>KLJ-MC400-00</v>
      </c>
      <c r="F1844" s="157" t="s">
        <v>379</v>
      </c>
      <c r="H1844" s="138">
        <v>574</v>
      </c>
      <c r="I1844" s="139" t="e">
        <f>VLOOKUP(H1844,Stock_list!A:R,18,FALSE)</f>
        <v>#N/A</v>
      </c>
      <c r="J1844" s="139" t="e">
        <f>VLOOKUP(H1844,Stock_list!A:S,17,FALSE)</f>
        <v>#N/A</v>
      </c>
      <c r="K1844" s="51" t="e">
        <f>VLOOKUP(H1844,Stock_list!A:T,16,FALSE)</f>
        <v>#N/A</v>
      </c>
      <c r="L1844" s="4">
        <v>43966</v>
      </c>
      <c r="M1844" s="132">
        <v>3</v>
      </c>
      <c r="P1844" s="4" t="e">
        <f>VLOOKUP(H1844,Stock_list!A:Y,25,FALSE)</f>
        <v>#N/A</v>
      </c>
      <c r="Q1844" s="143"/>
      <c r="T1844" s="144"/>
      <c r="U1844" s="145" t="e">
        <f>VLOOKUP(H1844,Stock_list!A:N,14,FALSE)</f>
        <v>#N/A</v>
      </c>
    </row>
    <row r="1845" spans="1:21" ht="16.5" customHeight="1">
      <c r="A1845" s="159" t="s">
        <v>266</v>
      </c>
      <c r="B1845" s="114" t="str">
        <f>VLOOKUP(A1845,'Data pick slip'!B:F,5,FALSE)</f>
        <v>KHJ-MC500-00</v>
      </c>
      <c r="F1845" s="157" t="s">
        <v>379</v>
      </c>
      <c r="H1845" s="138">
        <v>574</v>
      </c>
      <c r="I1845" s="139" t="e">
        <f>VLOOKUP(H1845,Stock_list!A:R,18,FALSE)</f>
        <v>#N/A</v>
      </c>
      <c r="J1845" s="139" t="e">
        <f>VLOOKUP(H1845,Stock_list!A:S,17,FALSE)</f>
        <v>#N/A</v>
      </c>
      <c r="K1845" s="51" t="e">
        <f>VLOOKUP(H1845,Stock_list!A:T,16,FALSE)</f>
        <v>#N/A</v>
      </c>
      <c r="L1845" s="4">
        <v>43966</v>
      </c>
      <c r="M1845" s="132">
        <v>1</v>
      </c>
      <c r="P1845" s="4" t="e">
        <f>VLOOKUP(H1845,Stock_list!A:Y,25,FALSE)</f>
        <v>#N/A</v>
      </c>
      <c r="Q1845" s="143"/>
      <c r="T1845" s="144"/>
      <c r="U1845" s="145" t="e">
        <f>VLOOKUP(H1845,Stock_list!A:N,14,FALSE)</f>
        <v>#N/A</v>
      </c>
    </row>
    <row r="1846" spans="1:21" ht="16.5" customHeight="1">
      <c r="A1846" s="159" t="s">
        <v>261</v>
      </c>
      <c r="B1846" s="114" t="str">
        <f>VLOOKUP(A1846,'Data pick slip'!B:F,5,FALSE)</f>
        <v>KHJ-MC100-00</v>
      </c>
      <c r="F1846" s="157" t="s">
        <v>379</v>
      </c>
      <c r="H1846" s="138">
        <v>577</v>
      </c>
      <c r="I1846" s="139" t="e">
        <f>VLOOKUP(H1846,Stock_list!A:R,18,FALSE)</f>
        <v>#N/A</v>
      </c>
      <c r="J1846" s="139" t="e">
        <f>VLOOKUP(H1846,Stock_list!A:S,17,FALSE)</f>
        <v>#N/A</v>
      </c>
      <c r="K1846" s="51" t="e">
        <f>VLOOKUP(H1846,Stock_list!A:T,16,FALSE)</f>
        <v>#N/A</v>
      </c>
      <c r="L1846" s="4">
        <v>43962</v>
      </c>
      <c r="M1846" s="132">
        <v>47</v>
      </c>
      <c r="P1846" s="4" t="e">
        <f>VLOOKUP(H1846,Stock_list!A:Y,25,FALSE)</f>
        <v>#N/A</v>
      </c>
      <c r="Q1846" s="143"/>
      <c r="T1846" s="144"/>
      <c r="U1846" s="145" t="e">
        <f>VLOOKUP(H1846,Stock_list!A:N,14,FALSE)</f>
        <v>#N/A</v>
      </c>
    </row>
    <row r="1847" spans="1:21" ht="16.5" customHeight="1">
      <c r="A1847" s="159" t="s">
        <v>273</v>
      </c>
      <c r="B1847" s="114" t="str">
        <f>VLOOKUP(A1847,'Data pick slip'!B:F,5,FALSE)</f>
        <v>KLJ-MC200-00</v>
      </c>
      <c r="F1847" s="157" t="s">
        <v>379</v>
      </c>
      <c r="H1847" s="138">
        <v>577</v>
      </c>
      <c r="I1847" s="139" t="e">
        <f>VLOOKUP(H1847,Stock_list!A:R,18,FALSE)</f>
        <v>#N/A</v>
      </c>
      <c r="J1847" s="139" t="e">
        <f>VLOOKUP(H1847,Stock_list!A:S,17,FALSE)</f>
        <v>#N/A</v>
      </c>
      <c r="K1847" s="51" t="e">
        <f>VLOOKUP(H1847,Stock_list!A:T,16,FALSE)</f>
        <v>#N/A</v>
      </c>
      <c r="L1847" s="4">
        <v>43962</v>
      </c>
      <c r="M1847" s="132">
        <v>10</v>
      </c>
      <c r="P1847" s="4" t="e">
        <f>VLOOKUP(H1847,Stock_list!A:Y,25,FALSE)</f>
        <v>#N/A</v>
      </c>
      <c r="T1847" s="144"/>
      <c r="U1847" s="145" t="e">
        <f>VLOOKUP(H1847,Stock_list!A:N,14,FALSE)</f>
        <v>#N/A</v>
      </c>
    </row>
    <row r="1848" spans="1:21" ht="16.5" customHeight="1">
      <c r="A1848" s="159" t="s">
        <v>274</v>
      </c>
      <c r="B1848" s="114" t="str">
        <f>VLOOKUP(A1848,'Data pick slip'!B:F,5,FALSE)</f>
        <v>KLJ-MC400-00</v>
      </c>
      <c r="F1848" s="157" t="s">
        <v>379</v>
      </c>
      <c r="H1848" s="138">
        <v>577</v>
      </c>
      <c r="I1848" s="139" t="e">
        <f>VLOOKUP(H1848,Stock_list!A:R,18,FALSE)</f>
        <v>#N/A</v>
      </c>
      <c r="J1848" s="139" t="e">
        <f>VLOOKUP(H1848,Stock_list!A:S,17,FALSE)</f>
        <v>#N/A</v>
      </c>
      <c r="K1848" s="51" t="e">
        <f>VLOOKUP(H1848,Stock_list!A:T,16,FALSE)</f>
        <v>#N/A</v>
      </c>
      <c r="L1848" s="4">
        <v>43962</v>
      </c>
      <c r="M1848" s="132">
        <v>1</v>
      </c>
      <c r="P1848" s="4" t="e">
        <f>VLOOKUP(H1848,Stock_list!A:Y,25,FALSE)</f>
        <v>#N/A</v>
      </c>
      <c r="Q1848" s="143"/>
      <c r="T1848" s="144"/>
      <c r="U1848" s="145" t="e">
        <f>VLOOKUP(H1848,Stock_list!A:N,14,FALSE)</f>
        <v>#N/A</v>
      </c>
    </row>
    <row r="1849" spans="1:21" ht="16.5" customHeight="1">
      <c r="A1849" s="159" t="s">
        <v>272</v>
      </c>
      <c r="B1849" s="114" t="str">
        <f>VLOOKUP(A1849,'Data pick slip'!B:F,5,FALSE)</f>
        <v>KLJ-MC100-00</v>
      </c>
      <c r="F1849" s="157" t="s">
        <v>290</v>
      </c>
      <c r="I1849" s="139" t="s">
        <v>633</v>
      </c>
      <c r="J1849" s="139" t="s">
        <v>740</v>
      </c>
      <c r="K1849" s="51" t="s">
        <v>225</v>
      </c>
      <c r="L1849" s="4">
        <v>44005</v>
      </c>
      <c r="M1849" s="140">
        <v>1</v>
      </c>
      <c r="P1849" s="4" t="s">
        <v>214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261</v>
      </c>
      <c r="B1850" s="114" t="str">
        <f>VLOOKUP(A1850,'Data pick slip'!B:F,5,FALSE)</f>
        <v>KHJ-MC100-00</v>
      </c>
      <c r="F1850" s="157" t="s">
        <v>290</v>
      </c>
      <c r="H1850" s="138">
        <v>575</v>
      </c>
      <c r="I1850" s="139" t="e">
        <f>VLOOKUP(H1850,Stock_list!A:R,18,FALSE)</f>
        <v>#N/A</v>
      </c>
      <c r="J1850" s="139" t="e">
        <f>VLOOKUP(H1850,Stock_list!A:S,17,FALSE)</f>
        <v>#N/A</v>
      </c>
      <c r="K1850" s="51" t="e">
        <f>VLOOKUP(H1850,Stock_list!A:T,16,FALSE)</f>
        <v>#N/A</v>
      </c>
      <c r="L1850" s="4">
        <v>43915</v>
      </c>
      <c r="M1850" s="132">
        <v>44</v>
      </c>
      <c r="P1850" s="4" t="e">
        <f>VLOOKUP(H1850,Stock_list!A:Y,25,FALSE)</f>
        <v>#N/A</v>
      </c>
      <c r="Q1850" s="143"/>
      <c r="T1850" s="144"/>
      <c r="U1850" s="145" t="e">
        <f>VLOOKUP(H1850,Stock_list!A:N,14,FALSE)</f>
        <v>#N/A</v>
      </c>
    </row>
    <row r="1851" spans="1:21" ht="16.5" customHeight="1">
      <c r="A1851" s="159" t="s">
        <v>264</v>
      </c>
      <c r="B1851" s="114" t="str">
        <f>VLOOKUP(A1851,'Data pick slip'!B:F,5,FALSE)</f>
        <v>KHJ-MC200-00</v>
      </c>
      <c r="F1851" s="157" t="s">
        <v>290</v>
      </c>
      <c r="I1851" s="139" t="s">
        <v>611</v>
      </c>
      <c r="J1851" s="139" t="s">
        <v>741</v>
      </c>
      <c r="K1851" s="51" t="s">
        <v>225</v>
      </c>
      <c r="L1851" s="4">
        <v>43844</v>
      </c>
      <c r="M1851" s="140">
        <v>8</v>
      </c>
      <c r="P1851" s="4" t="s">
        <v>214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265</v>
      </c>
      <c r="B1852" s="114" t="str">
        <f>VLOOKUP(A1852,'Data pick slip'!B:F,5,FALSE)</f>
        <v>KHJ-MC400-00</v>
      </c>
      <c r="F1852" s="157" t="s">
        <v>290</v>
      </c>
      <c r="I1852" s="139" t="s">
        <v>611</v>
      </c>
      <c r="J1852" s="139" t="s">
        <v>741</v>
      </c>
      <c r="K1852" s="51" t="s">
        <v>225</v>
      </c>
      <c r="L1852" s="4">
        <v>43844</v>
      </c>
      <c r="M1852" s="140">
        <v>2</v>
      </c>
      <c r="P1852" s="4" t="s">
        <v>214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261</v>
      </c>
      <c r="B1853" s="114" t="str">
        <f>VLOOKUP(A1853,'Data pick slip'!B:F,5,FALSE)</f>
        <v>KHJ-MC100-00</v>
      </c>
      <c r="F1853" s="157" t="s">
        <v>379</v>
      </c>
      <c r="H1853" s="138">
        <v>581</v>
      </c>
      <c r="I1853" s="139" t="e">
        <f>VLOOKUP(H1853,Stock_list!A:R,18,FALSE)</f>
        <v>#N/A</v>
      </c>
      <c r="J1853" s="139" t="e">
        <f>VLOOKUP(H1853,Stock_list!A:S,17,FALSE)</f>
        <v>#N/A</v>
      </c>
      <c r="K1853" s="51" t="e">
        <f>VLOOKUP(H1853,Stock_list!A:T,16,FALSE)</f>
        <v>#N/A</v>
      </c>
      <c r="L1853" s="4">
        <v>43903</v>
      </c>
      <c r="M1853" s="132">
        <v>32</v>
      </c>
      <c r="P1853" s="4" t="e">
        <f>VLOOKUP(H1853,Stock_list!A:Y,25,FALSE)</f>
        <v>#N/A</v>
      </c>
      <c r="Q1853" s="143"/>
      <c r="T1853" s="144"/>
      <c r="U1853" s="145" t="e">
        <f>VLOOKUP(H1853,Stock_list!A:N,14,FALSE)</f>
        <v>#N/A</v>
      </c>
    </row>
    <row r="1854" spans="1:21" ht="16.5" customHeight="1">
      <c r="A1854" s="159" t="s">
        <v>264</v>
      </c>
      <c r="B1854" s="114" t="str">
        <f>VLOOKUP(A1854,'Data pick slip'!B:F,5,FALSE)</f>
        <v>KHJ-MC200-00</v>
      </c>
      <c r="F1854" s="157" t="s">
        <v>379</v>
      </c>
      <c r="H1854" s="138">
        <v>581</v>
      </c>
      <c r="I1854" s="139" t="e">
        <f>VLOOKUP(H1854,Stock_list!A:R,18,FALSE)</f>
        <v>#N/A</v>
      </c>
      <c r="J1854" s="139" t="e">
        <f>VLOOKUP(H1854,Stock_list!A:S,17,FALSE)</f>
        <v>#N/A</v>
      </c>
      <c r="K1854" s="51" t="e">
        <f>VLOOKUP(H1854,Stock_list!A:T,16,FALSE)</f>
        <v>#N/A</v>
      </c>
      <c r="L1854" s="4">
        <v>43903</v>
      </c>
      <c r="M1854" s="132">
        <v>10</v>
      </c>
      <c r="P1854" s="4" t="e">
        <f>VLOOKUP(H1854,Stock_list!A:Y,25,FALSE)</f>
        <v>#N/A</v>
      </c>
      <c r="Q1854" s="143"/>
      <c r="T1854" s="144"/>
      <c r="U1854" s="145" t="e">
        <f>VLOOKUP(H1854,Stock_list!A:N,14,FALSE)</f>
        <v>#N/A</v>
      </c>
    </row>
    <row r="1855" spans="1:21" ht="16.5" customHeight="1">
      <c r="A1855" s="159" t="s">
        <v>261</v>
      </c>
      <c r="B1855" s="114" t="str">
        <f>VLOOKUP(A1855,'Data pick slip'!B:F,5,FALSE)</f>
        <v>KHJ-MC100-00</v>
      </c>
      <c r="F1855" s="157" t="s">
        <v>379</v>
      </c>
      <c r="H1855" s="138">
        <v>583</v>
      </c>
      <c r="I1855" s="139" t="e">
        <f>VLOOKUP(H1855,Stock_list!A:R,18,FALSE)</f>
        <v>#N/A</v>
      </c>
      <c r="J1855" s="139" t="e">
        <f>VLOOKUP(H1855,Stock_list!A:S,17,FALSE)</f>
        <v>#N/A</v>
      </c>
      <c r="K1855" s="51" t="e">
        <f>VLOOKUP(H1855,Stock_list!A:T,16,FALSE)</f>
        <v>#N/A</v>
      </c>
      <c r="L1855" s="4">
        <v>43945</v>
      </c>
      <c r="M1855" s="132">
        <v>65</v>
      </c>
      <c r="P1855" s="4" t="e">
        <f>VLOOKUP(H1855,Stock_list!A:Y,25,FALSE)</f>
        <v>#N/A</v>
      </c>
      <c r="Q1855" s="143"/>
      <c r="T1855" s="144"/>
      <c r="U1855" s="145" t="e">
        <f>VLOOKUP(H1855,Stock_list!A:N,14,FALSE)</f>
        <v>#N/A</v>
      </c>
    </row>
    <row r="1856" spans="1:21" ht="16.5" customHeight="1">
      <c r="A1856" s="159" t="s">
        <v>273</v>
      </c>
      <c r="B1856" s="114" t="str">
        <f>VLOOKUP(A1856,'Data pick slip'!B:F,5,FALSE)</f>
        <v>KLJ-MC200-00</v>
      </c>
      <c r="F1856" s="157" t="s">
        <v>379</v>
      </c>
      <c r="H1856" s="138">
        <v>583</v>
      </c>
      <c r="I1856" s="139" t="e">
        <f>VLOOKUP(H1856,Stock_list!A:R,18,FALSE)</f>
        <v>#N/A</v>
      </c>
      <c r="J1856" s="139" t="e">
        <f>VLOOKUP(H1856,Stock_list!A:S,17,FALSE)</f>
        <v>#N/A</v>
      </c>
      <c r="K1856" s="51" t="e">
        <f>VLOOKUP(H1856,Stock_list!A:T,16,FALSE)</f>
        <v>#N/A</v>
      </c>
      <c r="L1856" s="4">
        <v>43945</v>
      </c>
      <c r="M1856" s="132">
        <v>15</v>
      </c>
      <c r="P1856" s="4" t="e">
        <f>VLOOKUP(H1856,Stock_list!A:Y,25,FALSE)</f>
        <v>#N/A</v>
      </c>
      <c r="T1856" s="144"/>
      <c r="U1856" s="145" t="e">
        <f>VLOOKUP(H1856,Stock_list!A:N,14,FALSE)</f>
        <v>#N/A</v>
      </c>
    </row>
    <row r="1857" spans="1:21" ht="16.5" customHeight="1">
      <c r="A1857" s="159" t="s">
        <v>274</v>
      </c>
      <c r="B1857" s="114" t="str">
        <f>VLOOKUP(A1857,'Data pick slip'!B:F,5,FALSE)</f>
        <v>KLJ-MC400-00</v>
      </c>
      <c r="F1857" s="157" t="s">
        <v>379</v>
      </c>
      <c r="H1857" s="138">
        <v>583</v>
      </c>
      <c r="I1857" s="139" t="e">
        <f>VLOOKUP(H1857,Stock_list!A:R,18,FALSE)</f>
        <v>#N/A</v>
      </c>
      <c r="J1857" s="139" t="e">
        <f>VLOOKUP(H1857,Stock_list!A:S,17,FALSE)</f>
        <v>#N/A</v>
      </c>
      <c r="K1857" s="51" t="e">
        <f>VLOOKUP(H1857,Stock_list!A:T,16,FALSE)</f>
        <v>#N/A</v>
      </c>
      <c r="L1857" s="4">
        <v>43945</v>
      </c>
      <c r="M1857" s="132">
        <v>8</v>
      </c>
      <c r="P1857" s="4" t="e">
        <f>VLOOKUP(H1857,Stock_list!A:Y,25,FALSE)</f>
        <v>#N/A</v>
      </c>
      <c r="Q1857" s="143"/>
      <c r="T1857" s="144"/>
      <c r="U1857" s="145" t="e">
        <f>VLOOKUP(H1857,Stock_list!A:N,14,FALSE)</f>
        <v>#N/A</v>
      </c>
    </row>
    <row r="1858" spans="1:21" ht="16.5" customHeight="1">
      <c r="A1858" s="159" t="s">
        <v>265</v>
      </c>
      <c r="B1858" s="114" t="str">
        <f>VLOOKUP(A1858,'Data pick slip'!B:F,5,FALSE)</f>
        <v>KHJ-MC400-00</v>
      </c>
      <c r="F1858" s="157" t="s">
        <v>290</v>
      </c>
      <c r="I1858" s="139" t="s">
        <v>611</v>
      </c>
      <c r="J1858" s="139" t="s">
        <v>742</v>
      </c>
      <c r="K1858" s="51" t="s">
        <v>225</v>
      </c>
      <c r="L1858" s="4">
        <v>43846</v>
      </c>
      <c r="M1858" s="140">
        <v>3</v>
      </c>
      <c r="P1858" s="4" t="s">
        <v>214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264</v>
      </c>
      <c r="B1859" s="114" t="str">
        <f>VLOOKUP(A1859,'Data pick slip'!B:F,5,FALSE)</f>
        <v>KHJ-MC200-00</v>
      </c>
      <c r="F1859" s="157" t="s">
        <v>290</v>
      </c>
      <c r="I1859" s="139" t="s">
        <v>617</v>
      </c>
      <c r="J1859" s="139" t="s">
        <v>743</v>
      </c>
      <c r="K1859" s="51" t="s">
        <v>225</v>
      </c>
      <c r="L1859" s="4">
        <v>43879</v>
      </c>
      <c r="M1859" s="140">
        <v>5</v>
      </c>
      <c r="P1859" s="4" t="s">
        <v>214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265</v>
      </c>
      <c r="B1860" s="114" t="str">
        <f>VLOOKUP(A1860,'Data pick slip'!B:F,5,FALSE)</f>
        <v>KHJ-MC400-00</v>
      </c>
      <c r="F1860" s="157" t="s">
        <v>290</v>
      </c>
      <c r="I1860" s="139" t="s">
        <v>617</v>
      </c>
      <c r="J1860" s="139" t="s">
        <v>743</v>
      </c>
      <c r="K1860" s="51" t="s">
        <v>225</v>
      </c>
      <c r="L1860" s="4">
        <v>43879</v>
      </c>
      <c r="M1860" s="140">
        <v>1</v>
      </c>
      <c r="P1860" s="4" t="s">
        <v>214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266</v>
      </c>
      <c r="B1861" s="114" t="str">
        <f>VLOOKUP(A1861,'Data pick slip'!B:F,5,FALSE)</f>
        <v>KHJ-MC500-00</v>
      </c>
      <c r="F1861" s="157" t="s">
        <v>290</v>
      </c>
      <c r="I1861" s="139" t="s">
        <v>617</v>
      </c>
      <c r="J1861" s="139" t="s">
        <v>743</v>
      </c>
      <c r="K1861" s="51" t="s">
        <v>225</v>
      </c>
      <c r="L1861" s="4">
        <v>43879</v>
      </c>
      <c r="M1861" s="140">
        <v>1</v>
      </c>
      <c r="P1861" s="4" t="s">
        <v>214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261</v>
      </c>
      <c r="B1862" s="114" t="str">
        <f>VLOOKUP(A1862,'Data pick slip'!B:F,5,FALSE)</f>
        <v>KHJ-MC100-00</v>
      </c>
      <c r="F1862" s="157" t="s">
        <v>379</v>
      </c>
      <c r="I1862" s="139" t="s">
        <v>533</v>
      </c>
      <c r="J1862" s="139" t="s">
        <v>744</v>
      </c>
      <c r="K1862" s="51" t="s">
        <v>225</v>
      </c>
      <c r="L1862" s="4">
        <v>43846</v>
      </c>
      <c r="M1862" s="140">
        <v>50</v>
      </c>
      <c r="P1862" s="4" t="s">
        <v>214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264</v>
      </c>
      <c r="B1863" s="114" t="str">
        <f>VLOOKUP(A1863,'Data pick slip'!B:F,5,FALSE)</f>
        <v>KHJ-MC200-00</v>
      </c>
      <c r="F1863" s="157" t="s">
        <v>379</v>
      </c>
      <c r="I1863" s="139" t="s">
        <v>533</v>
      </c>
      <c r="J1863" s="139" t="s">
        <v>744</v>
      </c>
      <c r="K1863" s="51" t="s">
        <v>225</v>
      </c>
      <c r="L1863" s="4">
        <v>43846</v>
      </c>
      <c r="M1863" s="140">
        <v>20</v>
      </c>
      <c r="P1863" s="4" t="s">
        <v>214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265</v>
      </c>
      <c r="B1864" s="114" t="str">
        <f>VLOOKUP(A1864,'Data pick slip'!B:F,5,FALSE)</f>
        <v>KHJ-MC400-00</v>
      </c>
      <c r="F1864" s="157" t="s">
        <v>379</v>
      </c>
      <c r="I1864" s="139" t="s">
        <v>533</v>
      </c>
      <c r="J1864" s="139" t="s">
        <v>744</v>
      </c>
      <c r="K1864" s="51" t="s">
        <v>225</v>
      </c>
      <c r="L1864" s="4">
        <v>43846</v>
      </c>
      <c r="M1864" s="140">
        <v>10</v>
      </c>
      <c r="P1864" s="4" t="s">
        <v>214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261</v>
      </c>
      <c r="B1865" s="114" t="str">
        <f>VLOOKUP(A1865,'Data pick slip'!B:F,5,FALSE)</f>
        <v>KHJ-MC100-00</v>
      </c>
      <c r="F1865" s="157" t="s">
        <v>379</v>
      </c>
      <c r="H1865" s="138">
        <v>585</v>
      </c>
      <c r="I1865" s="139" t="e">
        <f>VLOOKUP(H1865,Stock_list!A:R,18,FALSE)</f>
        <v>#N/A</v>
      </c>
      <c r="J1865" s="139" t="e">
        <f>VLOOKUP(H1865,Stock_list!A:S,17,FALSE)</f>
        <v>#N/A</v>
      </c>
      <c r="K1865" s="51" t="e">
        <f>VLOOKUP(H1865,Stock_list!A:T,16,FALSE)</f>
        <v>#N/A</v>
      </c>
      <c r="L1865" s="4">
        <v>43893</v>
      </c>
      <c r="M1865" s="132">
        <v>70</v>
      </c>
      <c r="P1865" s="4" t="e">
        <f>VLOOKUP(H1865,Stock_list!A:Y,25,FALSE)</f>
        <v>#N/A</v>
      </c>
      <c r="Q1865" s="143"/>
      <c r="T1865" s="144"/>
      <c r="U1865" s="145" t="e">
        <f>VLOOKUP(H1865,Stock_list!A:N,14,FALSE)</f>
        <v>#N/A</v>
      </c>
    </row>
    <row r="1866" spans="1:21" ht="16.5" customHeight="1">
      <c r="A1866" s="159" t="s">
        <v>264</v>
      </c>
      <c r="B1866" s="114" t="str">
        <f>VLOOKUP(A1866,'Data pick slip'!B:F,5,FALSE)</f>
        <v>KHJ-MC200-00</v>
      </c>
      <c r="F1866" s="157" t="s">
        <v>379</v>
      </c>
      <c r="H1866" s="138">
        <v>585</v>
      </c>
      <c r="I1866" s="139" t="e">
        <f>VLOOKUP(H1866,Stock_list!A:R,18,FALSE)</f>
        <v>#N/A</v>
      </c>
      <c r="J1866" s="139" t="e">
        <f>VLOOKUP(H1866,Stock_list!A:S,17,FALSE)</f>
        <v>#N/A</v>
      </c>
      <c r="K1866" s="51" t="e">
        <f>VLOOKUP(H1866,Stock_list!A:T,16,FALSE)</f>
        <v>#N/A</v>
      </c>
      <c r="L1866" s="4">
        <v>43893</v>
      </c>
      <c r="M1866" s="132">
        <v>15</v>
      </c>
      <c r="P1866" s="4" t="e">
        <f>VLOOKUP(H1866,Stock_list!A:Y,25,FALSE)</f>
        <v>#N/A</v>
      </c>
      <c r="Q1866" s="143"/>
      <c r="T1866" s="144"/>
      <c r="U1866" s="145" t="e">
        <f>VLOOKUP(H1866,Stock_list!A:N,14,FALSE)</f>
        <v>#N/A</v>
      </c>
    </row>
    <row r="1867" spans="1:21" ht="16.5" customHeight="1">
      <c r="A1867" s="159" t="s">
        <v>264</v>
      </c>
      <c r="B1867" s="114" t="str">
        <f>VLOOKUP(A1867,'Data pick slip'!B:F,5,FALSE)</f>
        <v>KHJ-MC200-00</v>
      </c>
      <c r="F1867" s="157" t="s">
        <v>290</v>
      </c>
      <c r="I1867" s="139" t="s">
        <v>611</v>
      </c>
      <c r="J1867" s="139" t="s">
        <v>745</v>
      </c>
      <c r="K1867" s="51" t="s">
        <v>225</v>
      </c>
      <c r="L1867" s="4">
        <v>43886</v>
      </c>
      <c r="M1867" s="140">
        <v>7</v>
      </c>
      <c r="P1867" s="4" t="s">
        <v>214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264</v>
      </c>
      <c r="B1868" s="114" t="str">
        <f>VLOOKUP(A1868,'Data pick slip'!B:F,5,FALSE)</f>
        <v>KHJ-MC200-00</v>
      </c>
      <c r="F1868" s="157" t="s">
        <v>290</v>
      </c>
      <c r="I1868" s="139" t="s">
        <v>611</v>
      </c>
      <c r="J1868" s="139" t="s">
        <v>746</v>
      </c>
      <c r="K1868" s="51" t="s">
        <v>225</v>
      </c>
      <c r="L1868" s="4">
        <v>43886</v>
      </c>
      <c r="M1868" s="140">
        <v>1</v>
      </c>
      <c r="P1868" s="4" t="s">
        <v>214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272</v>
      </c>
      <c r="B1869" s="114" t="str">
        <f>VLOOKUP(A1869,'Data pick slip'!B:F,5,FALSE)</f>
        <v>KLJ-MC100-00</v>
      </c>
      <c r="F1869" s="157" t="s">
        <v>379</v>
      </c>
      <c r="H1869" s="138">
        <v>586</v>
      </c>
      <c r="I1869" s="139" t="e">
        <f>VLOOKUP(H1869,Stock_list!A:R,18,FALSE)</f>
        <v>#N/A</v>
      </c>
      <c r="J1869" s="139" t="e">
        <f>VLOOKUP(H1869,Stock_list!A:S,17,FALSE)</f>
        <v>#N/A</v>
      </c>
      <c r="K1869" s="51" t="e">
        <f>VLOOKUP(H1869,Stock_list!A:T,16,FALSE)</f>
        <v>#N/A</v>
      </c>
      <c r="L1869" s="4">
        <v>43893</v>
      </c>
      <c r="M1869" s="140">
        <v>6</v>
      </c>
      <c r="P1869" s="4" t="e">
        <f>VLOOKUP(H1869,Stock_list!A:Y,25,FALSE)</f>
        <v>#N/A</v>
      </c>
      <c r="Q1869" s="143"/>
      <c r="T1869" s="144"/>
      <c r="U1869" s="145" t="e">
        <f>VLOOKUP(H1869,Stock_list!A:N,14,FALSE)</f>
        <v>#N/A</v>
      </c>
    </row>
    <row r="1870" spans="1:21" ht="16.5" customHeight="1">
      <c r="A1870" s="159" t="s">
        <v>264</v>
      </c>
      <c r="B1870" s="114" t="str">
        <f>VLOOKUP(A1870,'Data pick slip'!B:F,5,FALSE)</f>
        <v>KHJ-MC200-00</v>
      </c>
      <c r="F1870" s="157" t="s">
        <v>290</v>
      </c>
      <c r="I1870" s="139" t="s">
        <v>633</v>
      </c>
      <c r="J1870" s="139" t="s">
        <v>747</v>
      </c>
      <c r="K1870" s="51" t="s">
        <v>225</v>
      </c>
      <c r="L1870" s="4">
        <v>43893</v>
      </c>
      <c r="M1870" s="140">
        <v>10</v>
      </c>
      <c r="P1870" s="4" t="s">
        <v>214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266</v>
      </c>
      <c r="B1871" s="114" t="str">
        <f>VLOOKUP(A1871,'Data pick slip'!B:F,5,FALSE)</f>
        <v>KHJ-MC500-00</v>
      </c>
      <c r="F1871" s="157" t="s">
        <v>290</v>
      </c>
      <c r="I1871" s="139" t="s">
        <v>633</v>
      </c>
      <c r="J1871" s="139" t="s">
        <v>748</v>
      </c>
      <c r="K1871" s="51" t="s">
        <v>225</v>
      </c>
      <c r="L1871" s="4">
        <v>43893</v>
      </c>
      <c r="M1871" s="140">
        <v>1</v>
      </c>
      <c r="P1871" s="4" t="s">
        <v>214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261</v>
      </c>
      <c r="B1872" s="114" t="str">
        <f>VLOOKUP(A1872,'Data pick slip'!B:F,5,FALSE)</f>
        <v>KHJ-MC100-00</v>
      </c>
      <c r="F1872" s="157" t="s">
        <v>290</v>
      </c>
      <c r="I1872" s="139" t="s">
        <v>611</v>
      </c>
      <c r="J1872" s="139" t="s">
        <v>749</v>
      </c>
      <c r="K1872" s="51" t="s">
        <v>225</v>
      </c>
      <c r="L1872" s="4">
        <v>43895</v>
      </c>
      <c r="M1872" s="140">
        <v>3</v>
      </c>
      <c r="P1872" s="4" t="s">
        <v>214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261</v>
      </c>
      <c r="B1873" s="114" t="str">
        <f>VLOOKUP(A1873,'Data pick slip'!B:F,5,FALSE)</f>
        <v>KHJ-MC100-00</v>
      </c>
      <c r="F1873" s="157" t="s">
        <v>379</v>
      </c>
      <c r="H1873" s="138">
        <v>587</v>
      </c>
      <c r="I1873" s="139" t="e">
        <f>VLOOKUP(H1873,Stock_list!A:R,18,FALSE)</f>
        <v>#N/A</v>
      </c>
      <c r="J1873" s="139" t="e">
        <f>VLOOKUP(H1873,Stock_list!A:S,17,FALSE)</f>
        <v>#N/A</v>
      </c>
      <c r="K1873" s="51" t="e">
        <f>VLOOKUP(H1873,Stock_list!A:T,16,FALSE)</f>
        <v>#N/A</v>
      </c>
      <c r="L1873" s="4">
        <v>43896</v>
      </c>
      <c r="M1873" s="140">
        <v>5</v>
      </c>
      <c r="P1873" s="4" t="e">
        <f>VLOOKUP(H1873,Stock_list!A:Y,25,FALSE)</f>
        <v>#N/A</v>
      </c>
      <c r="Q1873" s="143"/>
      <c r="T1873" s="144"/>
      <c r="U1873" s="145" t="e">
        <f>VLOOKUP(H1873,Stock_list!A:N,14,FALSE)</f>
        <v>#N/A</v>
      </c>
    </row>
    <row r="1874" spans="1:21" ht="16.5" customHeight="1">
      <c r="A1874" s="159" t="s">
        <v>264</v>
      </c>
      <c r="B1874" s="114" t="str">
        <f>VLOOKUP(A1874,'Data pick slip'!B:F,5,FALSE)</f>
        <v>KHJ-MC200-00</v>
      </c>
      <c r="F1874" s="157" t="s">
        <v>379</v>
      </c>
      <c r="H1874" s="138">
        <v>587</v>
      </c>
      <c r="I1874" s="139" t="e">
        <f>VLOOKUP(H1874,Stock_list!A:R,18,FALSE)</f>
        <v>#N/A</v>
      </c>
      <c r="J1874" s="139" t="e">
        <f>VLOOKUP(H1874,Stock_list!A:S,17,FALSE)</f>
        <v>#N/A</v>
      </c>
      <c r="K1874" s="51" t="e">
        <f>VLOOKUP(H1874,Stock_list!A:T,16,FALSE)</f>
        <v>#N/A</v>
      </c>
      <c r="L1874" s="4">
        <v>43896</v>
      </c>
      <c r="M1874" s="140">
        <v>3</v>
      </c>
      <c r="P1874" s="4" t="e">
        <f>VLOOKUP(H1874,Stock_list!A:Y,25,FALSE)</f>
        <v>#N/A</v>
      </c>
      <c r="Q1874" s="143"/>
      <c r="T1874" s="144"/>
      <c r="U1874" s="145" t="e">
        <f>VLOOKUP(H1874,Stock_list!A:N,14,FALSE)</f>
        <v>#N/A</v>
      </c>
    </row>
    <row r="1875" spans="1:21" ht="16.5" customHeight="1">
      <c r="A1875" s="159" t="s">
        <v>264</v>
      </c>
      <c r="B1875" s="114" t="str">
        <f>VLOOKUP(A1875,'Data pick slip'!B:F,5,FALSE)</f>
        <v>KHJ-MC200-00</v>
      </c>
      <c r="F1875" s="157" t="s">
        <v>290</v>
      </c>
      <c r="I1875" s="139" t="s">
        <v>611</v>
      </c>
      <c r="J1875" s="139" t="s">
        <v>750</v>
      </c>
      <c r="K1875" s="51" t="s">
        <v>225</v>
      </c>
      <c r="L1875" s="4">
        <v>43899</v>
      </c>
      <c r="M1875" s="140">
        <v>6</v>
      </c>
      <c r="P1875" s="4" t="s">
        <v>214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261</v>
      </c>
      <c r="B1876" s="114" t="str">
        <f>VLOOKUP(A1876,'Data pick slip'!B:F,5,FALSE)</f>
        <v>KHJ-MC100-00</v>
      </c>
      <c r="F1876" s="157" t="s">
        <v>290</v>
      </c>
      <c r="I1876" s="139" t="s">
        <v>611</v>
      </c>
      <c r="J1876" s="139" t="s">
        <v>751</v>
      </c>
      <c r="K1876" s="51" t="s">
        <v>225</v>
      </c>
      <c r="L1876" s="4">
        <v>43900</v>
      </c>
      <c r="M1876" s="140">
        <v>80</v>
      </c>
      <c r="P1876" s="4" t="s">
        <v>214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261</v>
      </c>
      <c r="B1877" s="114" t="str">
        <f>VLOOKUP(A1877,'Data pick slip'!B:F,5,FALSE)</f>
        <v>KHJ-MC100-00</v>
      </c>
      <c r="F1877" s="157" t="s">
        <v>379</v>
      </c>
      <c r="H1877" s="138">
        <v>589</v>
      </c>
      <c r="I1877" s="139" t="e">
        <f>VLOOKUP(H1877,Stock_list!A:R,18,FALSE)</f>
        <v>#N/A</v>
      </c>
      <c r="J1877" s="139" t="e">
        <f>VLOOKUP(H1877,Stock_list!A:S,17,FALSE)</f>
        <v>#N/A</v>
      </c>
      <c r="K1877" s="51" t="e">
        <f>VLOOKUP(H1877,Stock_list!A:T,16,FALSE)</f>
        <v>#N/A</v>
      </c>
      <c r="L1877" s="4">
        <v>43923</v>
      </c>
      <c r="M1877" s="132">
        <v>40</v>
      </c>
      <c r="P1877" s="4" t="e">
        <f>VLOOKUP(H1877,Stock_list!A:Y,25,FALSE)</f>
        <v>#N/A</v>
      </c>
      <c r="Q1877" s="143"/>
      <c r="T1877" s="144"/>
      <c r="U1877" s="145" t="e">
        <f>VLOOKUP(H1877,Stock_list!A:N,14,FALSE)</f>
        <v>#N/A</v>
      </c>
    </row>
    <row r="1878" spans="1:21" ht="16.5" customHeight="1">
      <c r="A1878" s="159" t="s">
        <v>264</v>
      </c>
      <c r="B1878" s="114" t="str">
        <f>VLOOKUP(A1878,'Data pick slip'!B:F,5,FALSE)</f>
        <v>KHJ-MC200-00</v>
      </c>
      <c r="F1878" s="157" t="s">
        <v>379</v>
      </c>
      <c r="H1878" s="138">
        <v>589</v>
      </c>
      <c r="I1878" s="139" t="e">
        <f>VLOOKUP(H1878,Stock_list!A:R,18,FALSE)</f>
        <v>#N/A</v>
      </c>
      <c r="J1878" s="139" t="e">
        <f>VLOOKUP(H1878,Stock_list!A:S,17,FALSE)</f>
        <v>#N/A</v>
      </c>
      <c r="K1878" s="51" t="e">
        <f>VLOOKUP(H1878,Stock_list!A:T,16,FALSE)</f>
        <v>#N/A</v>
      </c>
      <c r="L1878" s="4">
        <v>43923</v>
      </c>
      <c r="M1878" s="132">
        <v>1</v>
      </c>
      <c r="P1878" s="4" t="e">
        <f>VLOOKUP(H1878,Stock_list!A:Y,25,FALSE)</f>
        <v>#N/A</v>
      </c>
      <c r="Q1878" s="143"/>
      <c r="T1878" s="144"/>
      <c r="U1878" s="145" t="e">
        <f>VLOOKUP(H1878,Stock_list!A:N,14,FALSE)</f>
        <v>#N/A</v>
      </c>
    </row>
    <row r="1879" spans="1:21" ht="16.5" customHeight="1">
      <c r="A1879" s="159" t="s">
        <v>261</v>
      </c>
      <c r="B1879" s="114" t="str">
        <f>VLOOKUP(A1879,'Data pick slip'!B:F,5,FALSE)</f>
        <v>KHJ-MC100-00</v>
      </c>
      <c r="F1879" s="157" t="s">
        <v>290</v>
      </c>
      <c r="H1879" s="138">
        <v>593</v>
      </c>
      <c r="I1879" s="139" t="e">
        <f>VLOOKUP(H1879,Stock_list!A:R,18,FALSE)</f>
        <v>#N/A</v>
      </c>
      <c r="J1879" s="139" t="e">
        <f>VLOOKUP(H1879,Stock_list!A:S,17,FALSE)</f>
        <v>#N/A</v>
      </c>
      <c r="K1879" s="51" t="e">
        <f>VLOOKUP(H1879,Stock_list!A:T,16,FALSE)</f>
        <v>#N/A</v>
      </c>
      <c r="L1879" s="4">
        <v>43909</v>
      </c>
      <c r="M1879" s="140">
        <v>30</v>
      </c>
      <c r="P1879" s="4" t="e">
        <f>VLOOKUP(H1879,Stock_list!A:Y,25,FALSE)</f>
        <v>#N/A</v>
      </c>
      <c r="Q1879" s="143"/>
      <c r="T1879" s="144"/>
      <c r="U1879" s="145" t="e">
        <f>VLOOKUP(H1879,Stock_list!A:N,14,FALSE)</f>
        <v>#N/A</v>
      </c>
    </row>
    <row r="1880" spans="1:21" ht="16.5" customHeight="1">
      <c r="A1880" s="159" t="s">
        <v>264</v>
      </c>
      <c r="B1880" s="114" t="str">
        <f>VLOOKUP(A1880,'Data pick slip'!B:F,5,FALSE)</f>
        <v>KHJ-MC200-00</v>
      </c>
      <c r="F1880" s="157" t="s">
        <v>290</v>
      </c>
      <c r="H1880" s="138">
        <v>593</v>
      </c>
      <c r="I1880" s="139" t="e">
        <f>VLOOKUP(H1880,Stock_list!A:R,18,FALSE)</f>
        <v>#N/A</v>
      </c>
      <c r="J1880" s="139" t="e">
        <f>VLOOKUP(H1880,Stock_list!A:S,17,FALSE)</f>
        <v>#N/A</v>
      </c>
      <c r="K1880" s="51" t="e">
        <f>VLOOKUP(H1880,Stock_list!A:T,16,FALSE)</f>
        <v>#N/A</v>
      </c>
      <c r="L1880" s="4">
        <v>43909</v>
      </c>
      <c r="M1880" s="132">
        <v>5</v>
      </c>
      <c r="P1880" s="4" t="e">
        <f>VLOOKUP(H1880,Stock_list!A:Y,25,FALSE)</f>
        <v>#N/A</v>
      </c>
      <c r="Q1880" s="143"/>
      <c r="T1880" s="144"/>
      <c r="U1880" s="145" t="e">
        <f>VLOOKUP(H1880,Stock_list!A:N,14,FALSE)</f>
        <v>#N/A</v>
      </c>
    </row>
    <row r="1881" spans="1:21" ht="16.5" customHeight="1">
      <c r="A1881" s="159" t="s">
        <v>261</v>
      </c>
      <c r="B1881" s="114" t="str">
        <f>VLOOKUP(A1881,'Data pick slip'!B:F,5,FALSE)</f>
        <v>KHJ-MC100-00</v>
      </c>
      <c r="F1881" s="157" t="s">
        <v>379</v>
      </c>
      <c r="H1881" s="138">
        <v>594</v>
      </c>
      <c r="I1881" s="139" t="e">
        <f>VLOOKUP(H1881,Stock_list!A:R,18,FALSE)</f>
        <v>#N/A</v>
      </c>
      <c r="J1881" s="139" t="e">
        <f>VLOOKUP(H1881,Stock_list!A:S,17,FALSE)</f>
        <v>#N/A</v>
      </c>
      <c r="K1881" s="51" t="e">
        <f>VLOOKUP(H1881,Stock_list!A:T,16,FALSE)</f>
        <v>#N/A</v>
      </c>
      <c r="L1881" s="4">
        <v>43928</v>
      </c>
      <c r="M1881" s="132">
        <v>130</v>
      </c>
      <c r="P1881" s="4" t="e">
        <f>VLOOKUP(H1881,Stock_list!A:Y,25,FALSE)</f>
        <v>#N/A</v>
      </c>
      <c r="Q1881" s="143"/>
      <c r="T1881" s="144"/>
      <c r="U1881" s="145" t="e">
        <f>VLOOKUP(H1881,Stock_list!A:N,14,FALSE)</f>
        <v>#N/A</v>
      </c>
    </row>
    <row r="1882" spans="1:21" ht="16.5" customHeight="1">
      <c r="A1882" s="159" t="s">
        <v>264</v>
      </c>
      <c r="B1882" s="114" t="str">
        <f>VLOOKUP(A1882,'Data pick slip'!B:F,5,FALSE)</f>
        <v>KHJ-MC200-00</v>
      </c>
      <c r="F1882" s="157" t="s">
        <v>379</v>
      </c>
      <c r="H1882" s="138">
        <v>594</v>
      </c>
      <c r="I1882" s="139" t="e">
        <f>VLOOKUP(H1882,Stock_list!A:R,18,FALSE)</f>
        <v>#N/A</v>
      </c>
      <c r="J1882" s="139" t="e">
        <f>VLOOKUP(H1882,Stock_list!A:S,17,FALSE)</f>
        <v>#N/A</v>
      </c>
      <c r="K1882" s="51" t="e">
        <f>VLOOKUP(H1882,Stock_list!A:T,16,FALSE)</f>
        <v>#N/A</v>
      </c>
      <c r="L1882" s="4">
        <v>43928</v>
      </c>
      <c r="M1882" s="132">
        <v>10</v>
      </c>
      <c r="P1882" s="4" t="e">
        <f>VLOOKUP(H1882,Stock_list!A:Y,25,FALSE)</f>
        <v>#N/A</v>
      </c>
      <c r="Q1882" s="143"/>
      <c r="T1882" s="144"/>
      <c r="U1882" s="145" t="e">
        <f>VLOOKUP(H1882,Stock_list!A:N,14,FALSE)</f>
        <v>#N/A</v>
      </c>
    </row>
    <row r="1883" spans="1:21" ht="16.5" customHeight="1">
      <c r="A1883" s="159" t="s">
        <v>265</v>
      </c>
      <c r="B1883" s="114" t="str">
        <f>VLOOKUP(A1883,'Data pick slip'!B:F,5,FALSE)</f>
        <v>KHJ-MC400-00</v>
      </c>
      <c r="F1883" s="157" t="s">
        <v>379</v>
      </c>
      <c r="H1883" s="138">
        <v>594</v>
      </c>
      <c r="I1883" s="139" t="e">
        <f>VLOOKUP(H1883,Stock_list!A:R,18,FALSE)</f>
        <v>#N/A</v>
      </c>
      <c r="J1883" s="139" t="e">
        <f>VLOOKUP(H1883,Stock_list!A:S,17,FALSE)</f>
        <v>#N/A</v>
      </c>
      <c r="K1883" s="51" t="e">
        <f>VLOOKUP(H1883,Stock_list!A:T,16,FALSE)</f>
        <v>#N/A</v>
      </c>
      <c r="L1883" s="4">
        <v>43928</v>
      </c>
      <c r="M1883" s="132">
        <v>2</v>
      </c>
      <c r="P1883" s="4" t="e">
        <f>VLOOKUP(H1883,Stock_list!A:Y,25,FALSE)</f>
        <v>#N/A</v>
      </c>
      <c r="Q1883" s="143"/>
      <c r="T1883" s="144"/>
      <c r="U1883" s="145" t="e">
        <f>VLOOKUP(H1883,Stock_list!A:N,14,FALSE)</f>
        <v>#N/A</v>
      </c>
    </row>
    <row r="1884" spans="1:21" ht="16.5" customHeight="1">
      <c r="A1884" s="159" t="s">
        <v>266</v>
      </c>
      <c r="B1884" s="114" t="str">
        <f>VLOOKUP(A1884,'Data pick slip'!B:F,5,FALSE)</f>
        <v>KHJ-MC500-00</v>
      </c>
      <c r="F1884" s="157" t="s">
        <v>379</v>
      </c>
      <c r="H1884" s="138">
        <v>594</v>
      </c>
      <c r="I1884" s="139" t="e">
        <f>VLOOKUP(H1884,Stock_list!A:R,18,FALSE)</f>
        <v>#N/A</v>
      </c>
      <c r="J1884" s="139" t="e">
        <f>VLOOKUP(H1884,Stock_list!A:S,17,FALSE)</f>
        <v>#N/A</v>
      </c>
      <c r="K1884" s="51" t="e">
        <f>VLOOKUP(H1884,Stock_list!A:T,16,FALSE)</f>
        <v>#N/A</v>
      </c>
      <c r="L1884" s="4">
        <v>43928</v>
      </c>
      <c r="M1884" s="132">
        <v>1</v>
      </c>
      <c r="P1884" s="4" t="e">
        <f>VLOOKUP(H1884,Stock_list!A:Y,25,FALSE)</f>
        <v>#N/A</v>
      </c>
      <c r="Q1884" s="143"/>
      <c r="T1884" s="144"/>
      <c r="U1884" s="145" t="e">
        <f>VLOOKUP(H1884,Stock_list!A:N,14,FALSE)</f>
        <v>#N/A</v>
      </c>
    </row>
    <row r="1885" spans="1:21" ht="16.5" customHeight="1">
      <c r="A1885" s="159" t="s">
        <v>261</v>
      </c>
      <c r="B1885" s="114" t="str">
        <f>VLOOKUP(A1885,'Data pick slip'!B:F,5,FALSE)</f>
        <v>KHJ-MC100-00</v>
      </c>
      <c r="F1885" s="157" t="s">
        <v>290</v>
      </c>
      <c r="I1885" s="139" t="s">
        <v>752</v>
      </c>
      <c r="J1885" s="139" t="s">
        <v>753</v>
      </c>
      <c r="K1885" s="51" t="s">
        <v>225</v>
      </c>
      <c r="L1885" s="4">
        <v>43909</v>
      </c>
      <c r="M1885" s="140">
        <v>60</v>
      </c>
      <c r="P1885" s="4" t="s">
        <v>214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261</v>
      </c>
      <c r="B1886" s="114" t="str">
        <f>VLOOKUP(A1886,'Data pick slip'!B:F,5,FALSE)</f>
        <v>KHJ-MC100-00</v>
      </c>
      <c r="F1886" s="157" t="s">
        <v>290</v>
      </c>
      <c r="I1886" s="139" t="s">
        <v>653</v>
      </c>
      <c r="J1886" s="139" t="s">
        <v>754</v>
      </c>
      <c r="K1886" s="51" t="s">
        <v>225</v>
      </c>
      <c r="L1886" s="4">
        <v>43920</v>
      </c>
      <c r="M1886" s="132">
        <v>40</v>
      </c>
      <c r="P1886" s="4" t="s">
        <v>214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264</v>
      </c>
      <c r="B1887" s="114" t="str">
        <f>VLOOKUP(A1887,'Data pick slip'!B:F,5,FALSE)</f>
        <v>KHJ-MC200-00</v>
      </c>
      <c r="F1887" s="157" t="s">
        <v>290</v>
      </c>
      <c r="I1887" s="139" t="s">
        <v>653</v>
      </c>
      <c r="J1887" s="139" t="s">
        <v>754</v>
      </c>
      <c r="K1887" s="51" t="s">
        <v>225</v>
      </c>
      <c r="L1887" s="4">
        <v>43920</v>
      </c>
      <c r="M1887" s="132">
        <v>5</v>
      </c>
      <c r="P1887" s="4" t="s">
        <v>214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261</v>
      </c>
      <c r="B1888" s="114" t="str">
        <f>VLOOKUP(A1888,'Data pick slip'!B:F,5,FALSE)</f>
        <v>KHJ-MC100-00</v>
      </c>
      <c r="F1888" s="157" t="s">
        <v>379</v>
      </c>
      <c r="I1888" s="139" t="s">
        <v>533</v>
      </c>
      <c r="J1888" s="139" t="s">
        <v>755</v>
      </c>
      <c r="K1888" s="51" t="s">
        <v>225</v>
      </c>
      <c r="L1888" s="4">
        <v>43910</v>
      </c>
      <c r="M1888" s="140">
        <v>120</v>
      </c>
      <c r="P1888" s="4" t="s">
        <v>214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264</v>
      </c>
      <c r="B1889" s="114" t="str">
        <f>VLOOKUP(A1889,'Data pick slip'!B:F,5,FALSE)</f>
        <v>KHJ-MC200-00</v>
      </c>
      <c r="F1889" s="157" t="s">
        <v>379</v>
      </c>
      <c r="I1889" s="139" t="s">
        <v>533</v>
      </c>
      <c r="J1889" s="139" t="s">
        <v>755</v>
      </c>
      <c r="K1889" s="51" t="s">
        <v>225</v>
      </c>
      <c r="L1889" s="4">
        <v>43910</v>
      </c>
      <c r="M1889" s="140">
        <v>20</v>
      </c>
      <c r="P1889" s="4" t="s">
        <v>214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265</v>
      </c>
      <c r="B1890" s="114" t="str">
        <f>VLOOKUP(A1890,'Data pick slip'!B:F,5,FALSE)</f>
        <v>KHJ-MC400-00</v>
      </c>
      <c r="F1890" s="157" t="s">
        <v>379</v>
      </c>
      <c r="I1890" s="139" t="s">
        <v>533</v>
      </c>
      <c r="J1890" s="139" t="s">
        <v>755</v>
      </c>
      <c r="K1890" s="51" t="s">
        <v>225</v>
      </c>
      <c r="L1890" s="4">
        <v>43910</v>
      </c>
      <c r="M1890" s="140">
        <v>5</v>
      </c>
      <c r="P1890" s="4" t="s">
        <v>214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266</v>
      </c>
      <c r="B1891" s="114" t="str">
        <f>VLOOKUP(A1891,'Data pick slip'!B:F,5,FALSE)</f>
        <v>KHJ-MC500-00</v>
      </c>
      <c r="F1891" s="157" t="s">
        <v>379</v>
      </c>
      <c r="I1891" s="139" t="s">
        <v>533</v>
      </c>
      <c r="J1891" s="139" t="s">
        <v>755</v>
      </c>
      <c r="K1891" s="51" t="s">
        <v>225</v>
      </c>
      <c r="L1891" s="4">
        <v>43910</v>
      </c>
      <c r="M1891" s="140">
        <v>4</v>
      </c>
      <c r="P1891" s="4" t="s">
        <v>214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266</v>
      </c>
      <c r="B1892" s="114" t="str">
        <f>VLOOKUP(A1892,'Data pick slip'!B:F,5,FALSE)</f>
        <v>KHJ-MC500-00</v>
      </c>
      <c r="F1892" s="157" t="s">
        <v>290</v>
      </c>
      <c r="I1892" s="139" t="s">
        <v>611</v>
      </c>
      <c r="J1892" s="139" t="s">
        <v>756</v>
      </c>
      <c r="K1892" s="51" t="s">
        <v>225</v>
      </c>
      <c r="L1892" s="4">
        <v>43906</v>
      </c>
      <c r="O1892" s="132">
        <f>1-1</f>
        <v>0</v>
      </c>
      <c r="P1892" s="4" t="s">
        <v>214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264</v>
      </c>
      <c r="B1893" s="114" t="str">
        <f>VLOOKUP(A1893,'Data pick slip'!B:F,5,FALSE)</f>
        <v>KHJ-MC200-00</v>
      </c>
      <c r="F1893" s="157" t="s">
        <v>290</v>
      </c>
      <c r="I1893" s="139" t="s">
        <v>623</v>
      </c>
      <c r="J1893" s="139" t="s">
        <v>757</v>
      </c>
      <c r="K1893" s="51" t="s">
        <v>225</v>
      </c>
      <c r="L1893" s="4">
        <v>43910</v>
      </c>
      <c r="M1893" s="140">
        <v>5</v>
      </c>
      <c r="P1893" s="4" t="s">
        <v>214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264</v>
      </c>
      <c r="B1894" s="114" t="str">
        <f>VLOOKUP(A1894,'Data pick slip'!B:F,5,FALSE)</f>
        <v>KHJ-MC200-00</v>
      </c>
      <c r="F1894" s="157" t="s">
        <v>290</v>
      </c>
      <c r="I1894" s="139" t="s">
        <v>623</v>
      </c>
      <c r="J1894" s="139" t="s">
        <v>758</v>
      </c>
      <c r="K1894" s="51" t="s">
        <v>225</v>
      </c>
      <c r="L1894" s="4">
        <v>43907</v>
      </c>
      <c r="M1894" s="140">
        <v>5</v>
      </c>
      <c r="P1894" s="4" t="s">
        <v>214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261</v>
      </c>
      <c r="B1895" s="114" t="str">
        <f>VLOOKUP(A1895,'Data pick slip'!B:F,5,FALSE)</f>
        <v>KHJ-MC100-00</v>
      </c>
      <c r="F1895" s="157" t="s">
        <v>379</v>
      </c>
      <c r="H1895" s="138">
        <v>600</v>
      </c>
      <c r="I1895" s="139" t="e">
        <f>VLOOKUP(H1895,Stock_list!A:R,18,FALSE)</f>
        <v>#N/A</v>
      </c>
      <c r="J1895" s="139" t="e">
        <f>VLOOKUP(H1895,Stock_list!A:S,17,FALSE)</f>
        <v>#N/A</v>
      </c>
      <c r="K1895" s="51" t="e">
        <f>VLOOKUP(H1895,Stock_list!A:T,16,FALSE)</f>
        <v>#N/A</v>
      </c>
      <c r="L1895" s="4">
        <v>43924</v>
      </c>
      <c r="M1895" s="132">
        <v>80</v>
      </c>
      <c r="P1895" s="4" t="e">
        <f>VLOOKUP(H1895,Stock_list!A:Y,25,FALSE)</f>
        <v>#N/A</v>
      </c>
      <c r="Q1895" s="143"/>
      <c r="T1895" s="144"/>
      <c r="U1895" s="145" t="e">
        <f>VLOOKUP(H1895,Stock_list!A:N,14,FALSE)</f>
        <v>#N/A</v>
      </c>
    </row>
    <row r="1896" spans="1:21" ht="16.5" customHeight="1">
      <c r="A1896" s="159" t="s">
        <v>264</v>
      </c>
      <c r="B1896" s="114" t="str">
        <f>VLOOKUP(A1896,'Data pick slip'!B:F,5,FALSE)</f>
        <v>KHJ-MC200-00</v>
      </c>
      <c r="F1896" s="157" t="s">
        <v>379</v>
      </c>
      <c r="H1896" s="138">
        <v>600</v>
      </c>
      <c r="I1896" s="139" t="e">
        <f>VLOOKUP(H1896,Stock_list!A:R,18,FALSE)</f>
        <v>#N/A</v>
      </c>
      <c r="J1896" s="139" t="e">
        <f>VLOOKUP(H1896,Stock_list!A:S,17,FALSE)</f>
        <v>#N/A</v>
      </c>
      <c r="K1896" s="51" t="e">
        <f>VLOOKUP(H1896,Stock_list!A:T,16,FALSE)</f>
        <v>#N/A</v>
      </c>
      <c r="L1896" s="4">
        <v>43924</v>
      </c>
      <c r="M1896" s="132">
        <v>10</v>
      </c>
      <c r="P1896" s="4" t="e">
        <f>VLOOKUP(H1896,Stock_list!A:Y,25,FALSE)</f>
        <v>#N/A</v>
      </c>
      <c r="Q1896" s="143"/>
      <c r="T1896" s="144"/>
      <c r="U1896" s="145" t="e">
        <f>VLOOKUP(H1896,Stock_list!A:N,14,FALSE)</f>
        <v>#N/A</v>
      </c>
    </row>
    <row r="1897" spans="1:21" ht="16.5" customHeight="1">
      <c r="A1897" s="159" t="s">
        <v>265</v>
      </c>
      <c r="B1897" s="114" t="str">
        <f>VLOOKUP(A1897,'Data pick slip'!B:F,5,FALSE)</f>
        <v>KHJ-MC400-00</v>
      </c>
      <c r="F1897" s="157" t="s">
        <v>379</v>
      </c>
      <c r="H1897" s="138">
        <v>600</v>
      </c>
      <c r="I1897" s="139" t="e">
        <f>VLOOKUP(H1897,Stock_list!A:R,18,FALSE)</f>
        <v>#N/A</v>
      </c>
      <c r="J1897" s="139" t="e">
        <f>VLOOKUP(H1897,Stock_list!A:S,17,FALSE)</f>
        <v>#N/A</v>
      </c>
      <c r="K1897" s="51" t="e">
        <f>VLOOKUP(H1897,Stock_list!A:T,16,FALSE)</f>
        <v>#N/A</v>
      </c>
      <c r="L1897" s="4">
        <v>43924</v>
      </c>
      <c r="M1897" s="132">
        <v>6</v>
      </c>
      <c r="P1897" s="4" t="e">
        <f>VLOOKUP(H1897,Stock_list!A:Y,25,FALSE)</f>
        <v>#N/A</v>
      </c>
      <c r="Q1897" s="143"/>
      <c r="T1897" s="144"/>
      <c r="U1897" s="145" t="e">
        <f>VLOOKUP(H1897,Stock_list!A:N,14,FALSE)</f>
        <v>#N/A</v>
      </c>
    </row>
    <row r="1898" spans="1:21" ht="16.5" customHeight="1">
      <c r="A1898" s="159" t="s">
        <v>272</v>
      </c>
      <c r="B1898" s="114" t="str">
        <f>VLOOKUP(A1898,'Data pick slip'!B:F,5,FALSE)</f>
        <v>KLJ-MC100-00</v>
      </c>
      <c r="F1898" s="157" t="s">
        <v>379</v>
      </c>
      <c r="H1898" s="138">
        <v>601</v>
      </c>
      <c r="I1898" s="139" t="e">
        <f>VLOOKUP(H1898,Stock_list!A:R,18,FALSE)</f>
        <v>#N/A</v>
      </c>
      <c r="J1898" s="139" t="e">
        <f>VLOOKUP(H1898,Stock_list!A:S,17,FALSE)</f>
        <v>#N/A</v>
      </c>
      <c r="K1898" s="51" t="e">
        <f>VLOOKUP(H1898,Stock_list!A:T,16,FALSE)</f>
        <v>#N/A</v>
      </c>
      <c r="L1898" s="4">
        <v>43977</v>
      </c>
      <c r="M1898" s="132">
        <v>90</v>
      </c>
      <c r="P1898" s="4" t="e">
        <f>VLOOKUP(H1898,Stock_list!A:Y,25,FALSE)</f>
        <v>#N/A</v>
      </c>
      <c r="Q1898" s="143"/>
      <c r="T1898" s="144"/>
      <c r="U1898" s="145" t="e">
        <f>VLOOKUP(H1898,Stock_list!A:N,14,FALSE)</f>
        <v>#N/A</v>
      </c>
    </row>
    <row r="1899" spans="1:21" ht="16.5" customHeight="1">
      <c r="A1899" s="159" t="s">
        <v>273</v>
      </c>
      <c r="B1899" s="114" t="str">
        <f>VLOOKUP(A1899,'Data pick slip'!B:F,5,FALSE)</f>
        <v>KLJ-MC200-00</v>
      </c>
      <c r="F1899" s="157" t="s">
        <v>379</v>
      </c>
      <c r="H1899" s="138">
        <v>601</v>
      </c>
      <c r="I1899" s="139" t="e">
        <f>VLOOKUP(H1899,Stock_list!A:R,18,FALSE)</f>
        <v>#N/A</v>
      </c>
      <c r="J1899" s="139" t="e">
        <f>VLOOKUP(H1899,Stock_list!A:S,17,FALSE)</f>
        <v>#N/A</v>
      </c>
      <c r="K1899" s="51" t="e">
        <f>VLOOKUP(H1899,Stock_list!A:T,16,FALSE)</f>
        <v>#N/A</v>
      </c>
      <c r="L1899" s="4">
        <v>43977</v>
      </c>
      <c r="M1899" s="132">
        <v>10</v>
      </c>
      <c r="P1899" s="4" t="e">
        <f>VLOOKUP(H1899,Stock_list!A:Y,25,FALSE)</f>
        <v>#N/A</v>
      </c>
      <c r="T1899" s="144"/>
      <c r="U1899" s="145" t="e">
        <f>VLOOKUP(H1899,Stock_list!A:N,14,FALSE)</f>
        <v>#N/A</v>
      </c>
    </row>
    <row r="1900" spans="1:21" ht="16.5" customHeight="1">
      <c r="A1900" s="159" t="s">
        <v>267</v>
      </c>
      <c r="B1900" s="114" t="str">
        <f>VLOOKUP(A1900,'Data pick slip'!B:F,5,FALSE)</f>
        <v>KHJ-MC600-00</v>
      </c>
      <c r="F1900" s="157" t="s">
        <v>290</v>
      </c>
      <c r="I1900" s="139" t="s">
        <v>617</v>
      </c>
      <c r="J1900" s="139" t="s">
        <v>759</v>
      </c>
      <c r="K1900" s="51" t="s">
        <v>225</v>
      </c>
      <c r="L1900" s="4">
        <v>43915</v>
      </c>
      <c r="M1900" s="140">
        <v>1</v>
      </c>
      <c r="P1900" s="4" t="s">
        <v>214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266</v>
      </c>
      <c r="B1901" s="114" t="str">
        <f>VLOOKUP(A1901,'Data pick slip'!B:F,5,FALSE)</f>
        <v>KHJ-MC500-00</v>
      </c>
      <c r="F1901" s="157" t="s">
        <v>290</v>
      </c>
      <c r="I1901" s="139" t="s">
        <v>611</v>
      </c>
      <c r="J1901" s="139" t="s">
        <v>760</v>
      </c>
      <c r="K1901" s="51" t="s">
        <v>225</v>
      </c>
      <c r="L1901" s="14">
        <v>43934</v>
      </c>
      <c r="M1901" s="140">
        <v>2</v>
      </c>
      <c r="P1901" s="4" t="s">
        <v>214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267</v>
      </c>
      <c r="B1902" s="114" t="str">
        <f>VLOOKUP(A1902,'Data pick slip'!B:F,5,FALSE)</f>
        <v>KHJ-MC600-00</v>
      </c>
      <c r="F1902" s="157" t="s">
        <v>290</v>
      </c>
      <c r="I1902" s="139" t="s">
        <v>611</v>
      </c>
      <c r="J1902" s="139" t="s">
        <v>761</v>
      </c>
      <c r="K1902" s="51" t="s">
        <v>225</v>
      </c>
      <c r="L1902" s="4">
        <v>43914</v>
      </c>
      <c r="M1902" s="140">
        <v>1</v>
      </c>
      <c r="P1902" s="4" t="s">
        <v>214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267</v>
      </c>
      <c r="B1903" s="114" t="str">
        <f>VLOOKUP(A1903,'Data pick slip'!B:F,5,FALSE)</f>
        <v>KHJ-MC600-00</v>
      </c>
      <c r="F1903" s="157" t="s">
        <v>290</v>
      </c>
      <c r="I1903" s="139" t="s">
        <v>611</v>
      </c>
      <c r="J1903" s="139" t="s">
        <v>762</v>
      </c>
      <c r="K1903" s="51" t="s">
        <v>225</v>
      </c>
      <c r="L1903" s="4">
        <v>43915</v>
      </c>
      <c r="M1903" s="140">
        <v>2</v>
      </c>
      <c r="P1903" s="4" t="s">
        <v>214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265</v>
      </c>
      <c r="B1904" s="114" t="str">
        <f>VLOOKUP(A1904,'Data pick slip'!B:F,5,FALSE)</f>
        <v>KHJ-MC400-00</v>
      </c>
      <c r="F1904" s="157" t="s">
        <v>290</v>
      </c>
      <c r="I1904" s="139" t="s">
        <v>611</v>
      </c>
      <c r="J1904" s="139" t="s">
        <v>763</v>
      </c>
      <c r="K1904" s="51" t="s">
        <v>225</v>
      </c>
      <c r="L1904" s="4">
        <v>43915</v>
      </c>
      <c r="M1904" s="140">
        <v>2</v>
      </c>
      <c r="P1904" s="4" t="s">
        <v>214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272</v>
      </c>
      <c r="B1905" s="114" t="str">
        <f>VLOOKUP(A1905,'Data pick slip'!B:F,5,FALSE)</f>
        <v>KLJ-MC100-00</v>
      </c>
      <c r="F1905" s="157" t="s">
        <v>379</v>
      </c>
      <c r="I1905" s="139" t="s">
        <v>533</v>
      </c>
      <c r="J1905" s="139" t="s">
        <v>764</v>
      </c>
      <c r="K1905" s="51" t="s">
        <v>225</v>
      </c>
      <c r="L1905" s="4">
        <v>43903</v>
      </c>
      <c r="M1905" s="140">
        <v>100</v>
      </c>
      <c r="P1905" s="4" t="s">
        <v>214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273</v>
      </c>
      <c r="B1906" s="114" t="str">
        <f>VLOOKUP(A1906,'Data pick slip'!B:F,5,FALSE)</f>
        <v>KLJ-MC200-00</v>
      </c>
      <c r="F1906" s="157" t="s">
        <v>379</v>
      </c>
      <c r="I1906" s="139" t="s">
        <v>533</v>
      </c>
      <c r="J1906" s="139" t="s">
        <v>764</v>
      </c>
      <c r="K1906" s="51" t="s">
        <v>225</v>
      </c>
      <c r="L1906" s="4">
        <v>43903</v>
      </c>
      <c r="M1906" s="140">
        <v>20</v>
      </c>
      <c r="P1906" s="4" t="s">
        <v>214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272</v>
      </c>
      <c r="B1907" s="114" t="str">
        <f>VLOOKUP(A1907,'Data pick slip'!B:F,5,FALSE)</f>
        <v>KLJ-MC100-00</v>
      </c>
      <c r="F1907" s="157" t="s">
        <v>379</v>
      </c>
      <c r="I1907" s="139" t="s">
        <v>533</v>
      </c>
      <c r="J1907" s="139" t="s">
        <v>765</v>
      </c>
      <c r="K1907" s="51" t="s">
        <v>225</v>
      </c>
      <c r="L1907" s="4">
        <v>43903</v>
      </c>
      <c r="M1907" s="140">
        <v>100</v>
      </c>
      <c r="P1907" s="4" t="s">
        <v>214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273</v>
      </c>
      <c r="B1908" s="114" t="str">
        <f>VLOOKUP(A1908,'Data pick slip'!B:F,5,FALSE)</f>
        <v>KLJ-MC200-00</v>
      </c>
      <c r="F1908" s="157" t="s">
        <v>379</v>
      </c>
      <c r="I1908" s="139" t="s">
        <v>533</v>
      </c>
      <c r="J1908" s="139" t="s">
        <v>765</v>
      </c>
      <c r="K1908" s="51" t="s">
        <v>225</v>
      </c>
      <c r="L1908" s="4">
        <v>43903</v>
      </c>
      <c r="M1908" s="140">
        <v>20</v>
      </c>
      <c r="P1908" s="4" t="s">
        <v>214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261</v>
      </c>
      <c r="B1909" s="114" t="str">
        <f>VLOOKUP(A1909,'Data pick slip'!B:F,5,FALSE)</f>
        <v>KHJ-MC100-00</v>
      </c>
      <c r="F1909" s="157" t="s">
        <v>290</v>
      </c>
      <c r="H1909" s="138">
        <v>602</v>
      </c>
      <c r="I1909" s="139" t="e">
        <f>VLOOKUP(H1909,Stock_list!A:R,18,FALSE)</f>
        <v>#N/A</v>
      </c>
      <c r="J1909" s="139" t="e">
        <f>VLOOKUP(H1909,Stock_list!A:S,17,FALSE)</f>
        <v>#N/A</v>
      </c>
      <c r="K1909" s="51" t="e">
        <f>VLOOKUP(H1909,Stock_list!A:T,16,FALSE)</f>
        <v>#N/A</v>
      </c>
      <c r="L1909" s="4">
        <v>43987</v>
      </c>
      <c r="M1909" s="132">
        <v>20</v>
      </c>
      <c r="P1909" s="4" t="e">
        <f>VLOOKUP(H1909,Stock_list!A:Y,25,FALSE)</f>
        <v>#N/A</v>
      </c>
      <c r="Q1909" s="143"/>
      <c r="T1909" s="144"/>
      <c r="U1909" s="145" t="e">
        <f>VLOOKUP(H1909,Stock_list!A:N,14,FALSE)</f>
        <v>#N/A</v>
      </c>
    </row>
    <row r="1910" spans="1:21" ht="16.5" customHeight="1">
      <c r="A1910" s="159" t="s">
        <v>273</v>
      </c>
      <c r="B1910" s="114" t="str">
        <f>VLOOKUP(A1910,'Data pick slip'!B:F,5,FALSE)</f>
        <v>KLJ-MC200-00</v>
      </c>
      <c r="F1910" s="157" t="s">
        <v>290</v>
      </c>
      <c r="H1910" s="138">
        <v>602</v>
      </c>
      <c r="I1910" s="139" t="e">
        <f>VLOOKUP(H1910,Stock_list!A:R,18,FALSE)</f>
        <v>#N/A</v>
      </c>
      <c r="J1910" s="139" t="e">
        <f>VLOOKUP(H1910,Stock_list!A:S,17,FALSE)</f>
        <v>#N/A</v>
      </c>
      <c r="K1910" s="51" t="e">
        <f>VLOOKUP(H1910,Stock_list!A:T,16,FALSE)</f>
        <v>#N/A</v>
      </c>
      <c r="L1910" s="4">
        <v>43987</v>
      </c>
      <c r="M1910" s="132">
        <v>3</v>
      </c>
      <c r="P1910" s="4" t="e">
        <f>VLOOKUP(H1910,Stock_list!A:Y,25,FALSE)</f>
        <v>#N/A</v>
      </c>
      <c r="T1910" s="144"/>
      <c r="U1910" s="145" t="e">
        <f>VLOOKUP(H1910,Stock_list!A:N,14,FALSE)</f>
        <v>#N/A</v>
      </c>
    </row>
    <row r="1911" spans="1:21" ht="16.5" customHeight="1">
      <c r="A1911" s="159" t="s">
        <v>261</v>
      </c>
      <c r="B1911" s="114" t="str">
        <f>VLOOKUP(A1911,'Data pick slip'!B:F,5,FALSE)</f>
        <v>KHJ-MC100-00</v>
      </c>
      <c r="F1911" s="157" t="s">
        <v>379</v>
      </c>
      <c r="H1911" s="138">
        <v>604</v>
      </c>
      <c r="I1911" s="139" t="e">
        <f>VLOOKUP(H1911,Stock_list!A:R,18,FALSE)</f>
        <v>#N/A</v>
      </c>
      <c r="J1911" s="139" t="e">
        <f>VLOOKUP(H1911,Stock_list!A:S,17,FALSE)</f>
        <v>#N/A</v>
      </c>
      <c r="K1911" s="51" t="e">
        <f>VLOOKUP(H1911,Stock_list!A:T,16,FALSE)</f>
        <v>#N/A</v>
      </c>
      <c r="L1911" s="4">
        <v>43976</v>
      </c>
      <c r="M1911" s="132">
        <v>40</v>
      </c>
      <c r="P1911" s="4" t="e">
        <f>VLOOKUP(H1911,Stock_list!A:Y,25,FALSE)</f>
        <v>#N/A</v>
      </c>
      <c r="Q1911" s="143"/>
      <c r="T1911" s="144"/>
      <c r="U1911" s="145" t="e">
        <f>VLOOKUP(H1911,Stock_list!A:N,14,FALSE)</f>
        <v>#N/A</v>
      </c>
    </row>
    <row r="1912" spans="1:21" ht="16.5" customHeight="1">
      <c r="A1912" s="159" t="s">
        <v>273</v>
      </c>
      <c r="B1912" s="114" t="str">
        <f>VLOOKUP(A1912,'Data pick slip'!B:F,5,FALSE)</f>
        <v>KLJ-MC200-00</v>
      </c>
      <c r="F1912" s="157" t="s">
        <v>379</v>
      </c>
      <c r="H1912" s="138">
        <v>604</v>
      </c>
      <c r="I1912" s="139" t="e">
        <f>VLOOKUP(H1912,Stock_list!A:R,18,FALSE)</f>
        <v>#N/A</v>
      </c>
      <c r="J1912" s="139" t="e">
        <f>VLOOKUP(H1912,Stock_list!A:S,17,FALSE)</f>
        <v>#N/A</v>
      </c>
      <c r="K1912" s="51" t="e">
        <f>VLOOKUP(H1912,Stock_list!A:T,16,FALSE)</f>
        <v>#N/A</v>
      </c>
      <c r="L1912" s="4">
        <v>43976</v>
      </c>
      <c r="M1912" s="132">
        <v>5</v>
      </c>
      <c r="P1912" s="4" t="e">
        <f>VLOOKUP(H1912,Stock_list!A:Y,25,FALSE)</f>
        <v>#N/A</v>
      </c>
      <c r="T1912" s="144"/>
      <c r="U1912" s="145" t="e">
        <f>VLOOKUP(H1912,Stock_list!A:N,14,FALSE)</f>
        <v>#N/A</v>
      </c>
    </row>
    <row r="1913" spans="1:21" ht="16.5" customHeight="1">
      <c r="A1913" s="159" t="s">
        <v>274</v>
      </c>
      <c r="B1913" s="114" t="str">
        <f>VLOOKUP(A1913,'Data pick slip'!B:F,5,FALSE)</f>
        <v>KLJ-MC400-00</v>
      </c>
      <c r="F1913" s="157" t="s">
        <v>379</v>
      </c>
      <c r="H1913" s="138">
        <v>604</v>
      </c>
      <c r="I1913" s="139" t="e">
        <f>VLOOKUP(H1913,Stock_list!A:R,18,FALSE)</f>
        <v>#N/A</v>
      </c>
      <c r="J1913" s="139" t="e">
        <f>VLOOKUP(H1913,Stock_list!A:S,17,FALSE)</f>
        <v>#N/A</v>
      </c>
      <c r="K1913" s="51" t="e">
        <f>VLOOKUP(H1913,Stock_list!A:T,16,FALSE)</f>
        <v>#N/A</v>
      </c>
      <c r="L1913" s="4">
        <v>43976</v>
      </c>
      <c r="M1913" s="132">
        <v>1</v>
      </c>
      <c r="P1913" s="4" t="e">
        <f>VLOOKUP(H1913,Stock_list!A:Y,25,FALSE)</f>
        <v>#N/A</v>
      </c>
      <c r="Q1913" s="143"/>
      <c r="T1913" s="144"/>
      <c r="U1913" s="145" t="e">
        <f>VLOOKUP(H1913,Stock_list!A:N,14,FALSE)</f>
        <v>#N/A</v>
      </c>
    </row>
    <row r="1914" spans="1:21" ht="16.5" customHeight="1">
      <c r="A1914" s="159" t="s">
        <v>266</v>
      </c>
      <c r="B1914" s="114" t="str">
        <f>VLOOKUP(A1914,'Data pick slip'!B:F,5,FALSE)</f>
        <v>KHJ-MC500-00</v>
      </c>
      <c r="F1914" s="157" t="s">
        <v>379</v>
      </c>
      <c r="H1914" s="138">
        <v>604</v>
      </c>
      <c r="I1914" s="139" t="e">
        <f>VLOOKUP(H1914,Stock_list!A:R,18,FALSE)</f>
        <v>#N/A</v>
      </c>
      <c r="J1914" s="139" t="e">
        <f>VLOOKUP(H1914,Stock_list!A:S,17,FALSE)</f>
        <v>#N/A</v>
      </c>
      <c r="K1914" s="51" t="e">
        <f>VLOOKUP(H1914,Stock_list!A:T,16,FALSE)</f>
        <v>#N/A</v>
      </c>
      <c r="L1914" s="4">
        <v>43976</v>
      </c>
      <c r="M1914" s="132">
        <v>1</v>
      </c>
      <c r="P1914" s="4" t="e">
        <f>VLOOKUP(H1914,Stock_list!A:Y,25,FALSE)</f>
        <v>#N/A</v>
      </c>
      <c r="Q1914" s="143"/>
      <c r="T1914" s="144"/>
      <c r="U1914" s="145" t="e">
        <f>VLOOKUP(H1914,Stock_list!A:N,14,FALSE)</f>
        <v>#N/A</v>
      </c>
    </row>
    <row r="1915" spans="1:21" ht="16.5" customHeight="1">
      <c r="A1915" s="159" t="s">
        <v>261</v>
      </c>
      <c r="B1915" s="114" t="str">
        <f>VLOOKUP(A1915,'Data pick slip'!B:F,5,FALSE)</f>
        <v>KHJ-MC100-00</v>
      </c>
      <c r="F1915" s="157" t="s">
        <v>379</v>
      </c>
      <c r="H1915" s="138">
        <v>605</v>
      </c>
      <c r="I1915" s="139" t="e">
        <f>VLOOKUP(H1915,Stock_list!A:R,18,FALSE)</f>
        <v>#N/A</v>
      </c>
      <c r="J1915" s="139" t="e">
        <f>VLOOKUP(H1915,Stock_list!A:S,17,FALSE)</f>
        <v>#N/A</v>
      </c>
      <c r="K1915" s="51" t="e">
        <f>VLOOKUP(H1915,Stock_list!A:T,16,FALSE)</f>
        <v>#N/A</v>
      </c>
      <c r="L1915" s="4">
        <v>44013</v>
      </c>
      <c r="M1915" s="132">
        <v>12</v>
      </c>
      <c r="P1915" s="4" t="e">
        <f>VLOOKUP(H1915,Stock_list!A:Y,25,FALSE)</f>
        <v>#N/A</v>
      </c>
      <c r="Q1915" s="143"/>
      <c r="T1915" s="144"/>
      <c r="U1915" s="145" t="e">
        <f>VLOOKUP(H1915,Stock_list!A:N,14,FALSE)</f>
        <v>#N/A</v>
      </c>
    </row>
    <row r="1916" spans="1:21" ht="16.5" customHeight="1">
      <c r="A1916" s="159" t="s">
        <v>272</v>
      </c>
      <c r="B1916" s="114" t="str">
        <f>VLOOKUP(A1916,'Data pick slip'!B:F,5,FALSE)</f>
        <v>KLJ-MC100-00</v>
      </c>
      <c r="F1916" s="157" t="s">
        <v>290</v>
      </c>
      <c r="I1916" s="139" t="s">
        <v>611</v>
      </c>
      <c r="J1916" s="139" t="s">
        <v>766</v>
      </c>
      <c r="K1916" s="51" t="s">
        <v>225</v>
      </c>
      <c r="L1916" s="4">
        <v>43937</v>
      </c>
      <c r="M1916" s="140">
        <v>30</v>
      </c>
      <c r="P1916" s="4" t="s">
        <v>214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261</v>
      </c>
      <c r="B1917" s="114" t="str">
        <f>VLOOKUP(A1917,'Data pick slip'!B:F,5,FALSE)</f>
        <v>KHJ-MC100-00</v>
      </c>
      <c r="F1917" s="157" t="s">
        <v>290</v>
      </c>
      <c r="I1917" s="139" t="s">
        <v>611</v>
      </c>
      <c r="J1917" s="139" t="s">
        <v>767</v>
      </c>
      <c r="K1917" s="51" t="s">
        <v>225</v>
      </c>
      <c r="L1917" s="4">
        <v>43928</v>
      </c>
      <c r="M1917" s="132">
        <v>5</v>
      </c>
      <c r="P1917" s="4" t="s">
        <v>214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264</v>
      </c>
      <c r="B1918" s="114" t="str">
        <f>VLOOKUP(A1918,'Data pick slip'!B:F,5,FALSE)</f>
        <v>KHJ-MC200-00</v>
      </c>
      <c r="F1918" s="157" t="s">
        <v>290</v>
      </c>
      <c r="I1918" s="139" t="s">
        <v>611</v>
      </c>
      <c r="J1918" s="139" t="s">
        <v>768</v>
      </c>
      <c r="K1918" s="51" t="s">
        <v>225</v>
      </c>
      <c r="L1918" s="4">
        <v>43928</v>
      </c>
      <c r="M1918" s="132">
        <v>4</v>
      </c>
      <c r="P1918" s="4" t="s">
        <v>214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265</v>
      </c>
      <c r="B1919" s="114" t="str">
        <f>VLOOKUP(A1919,'Data pick slip'!B:F,5,FALSE)</f>
        <v>KHJ-MC400-00</v>
      </c>
      <c r="F1919" s="157" t="s">
        <v>290</v>
      </c>
      <c r="I1919" s="139" t="s">
        <v>611</v>
      </c>
      <c r="J1919" s="139" t="s">
        <v>768</v>
      </c>
      <c r="K1919" s="51" t="s">
        <v>225</v>
      </c>
      <c r="L1919" s="4">
        <v>43928</v>
      </c>
      <c r="M1919" s="132">
        <v>2</v>
      </c>
      <c r="P1919" s="4" t="s">
        <v>214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261</v>
      </c>
      <c r="B1920" s="114" t="str">
        <f>VLOOKUP(A1920,'Data pick slip'!B:F,5,FALSE)</f>
        <v>KHJ-MC100-00</v>
      </c>
      <c r="F1920" s="157" t="s">
        <v>379</v>
      </c>
      <c r="H1920" s="138">
        <v>606</v>
      </c>
      <c r="I1920" s="139" t="e">
        <f>VLOOKUP(H1920,Stock_list!A:R,18,FALSE)</f>
        <v>#N/A</v>
      </c>
      <c r="J1920" s="139" t="s">
        <v>769</v>
      </c>
      <c r="K1920" s="51" t="s">
        <v>520</v>
      </c>
      <c r="L1920" s="4">
        <v>43973</v>
      </c>
      <c r="M1920" s="132">
        <v>45</v>
      </c>
      <c r="P1920" s="4" t="e">
        <f>VLOOKUP(H1920,Stock_list!A:Y,25,FALSE)</f>
        <v>#N/A</v>
      </c>
      <c r="Q1920" s="143"/>
      <c r="T1920" s="144"/>
      <c r="U1920" s="145" t="e">
        <f>VLOOKUP(H1920,Stock_list!A:N,14,FALSE)</f>
        <v>#N/A</v>
      </c>
    </row>
    <row r="1921" spans="1:21" ht="16.5" customHeight="1">
      <c r="A1921" s="159" t="s">
        <v>273</v>
      </c>
      <c r="B1921" s="114" t="str">
        <f>VLOOKUP(A1921,'Data pick slip'!B:F,5,FALSE)</f>
        <v>KLJ-MC200-00</v>
      </c>
      <c r="F1921" s="157" t="s">
        <v>379</v>
      </c>
      <c r="H1921" s="138">
        <v>606</v>
      </c>
      <c r="I1921" s="139" t="e">
        <f>VLOOKUP(H1921,Stock_list!A:R,18,FALSE)</f>
        <v>#N/A</v>
      </c>
      <c r="J1921" s="139" t="e">
        <f>VLOOKUP(H1921,Stock_list!A:S,17,FALSE)</f>
        <v>#N/A</v>
      </c>
      <c r="K1921" s="51" t="e">
        <f>VLOOKUP(H1921,Stock_list!A:T,16,FALSE)</f>
        <v>#N/A</v>
      </c>
      <c r="L1921" s="4">
        <v>43973</v>
      </c>
      <c r="M1921" s="132">
        <v>22</v>
      </c>
      <c r="P1921" s="4" t="e">
        <f>VLOOKUP(H1921,Stock_list!A:Y,25,FALSE)</f>
        <v>#N/A</v>
      </c>
      <c r="T1921" s="144"/>
      <c r="U1921" s="145" t="e">
        <f>VLOOKUP(H1921,Stock_list!A:N,14,FALSE)</f>
        <v>#N/A</v>
      </c>
    </row>
    <row r="1922" spans="1:21" ht="16.5" customHeight="1">
      <c r="A1922" s="159" t="s">
        <v>274</v>
      </c>
      <c r="B1922" s="114" t="str">
        <f>VLOOKUP(A1922,'Data pick slip'!B:F,5,FALSE)</f>
        <v>KLJ-MC400-00</v>
      </c>
      <c r="F1922" s="157" t="s">
        <v>379</v>
      </c>
      <c r="H1922" s="138">
        <v>606</v>
      </c>
      <c r="I1922" s="139" t="e">
        <f>VLOOKUP(H1922,Stock_list!A:R,18,FALSE)</f>
        <v>#N/A</v>
      </c>
      <c r="J1922" s="139" t="e">
        <f>VLOOKUP(H1922,Stock_list!A:S,17,FALSE)</f>
        <v>#N/A</v>
      </c>
      <c r="K1922" s="51" t="e">
        <f>VLOOKUP(H1922,Stock_list!A:T,16,FALSE)</f>
        <v>#N/A</v>
      </c>
      <c r="L1922" s="4">
        <v>43973</v>
      </c>
      <c r="M1922" s="132">
        <v>14</v>
      </c>
      <c r="P1922" s="4" t="e">
        <f>VLOOKUP(H1922,Stock_list!A:Y,25,FALSE)</f>
        <v>#N/A</v>
      </c>
      <c r="Q1922" s="143"/>
      <c r="T1922" s="144"/>
      <c r="U1922" s="145" t="e">
        <f>VLOOKUP(H1922,Stock_list!A:N,14,FALSE)</f>
        <v>#N/A</v>
      </c>
    </row>
    <row r="1923" spans="1:21" ht="16.5" customHeight="1">
      <c r="A1923" s="159" t="s">
        <v>266</v>
      </c>
      <c r="B1923" s="114" t="str">
        <f>VLOOKUP(A1923,'Data pick slip'!B:F,5,FALSE)</f>
        <v>KHJ-MC500-00</v>
      </c>
      <c r="F1923" s="157" t="s">
        <v>379</v>
      </c>
      <c r="H1923" s="138">
        <v>606</v>
      </c>
      <c r="I1923" s="139" t="e">
        <f>VLOOKUP(H1923,Stock_list!A:R,18,FALSE)</f>
        <v>#N/A</v>
      </c>
      <c r="J1923" s="139" t="e">
        <f>VLOOKUP(H1923,Stock_list!A:S,17,FALSE)</f>
        <v>#N/A</v>
      </c>
      <c r="K1923" s="51" t="e">
        <f>VLOOKUP(H1923,Stock_list!A:T,16,FALSE)</f>
        <v>#N/A</v>
      </c>
      <c r="L1923" s="4">
        <v>43973</v>
      </c>
      <c r="M1923" s="132">
        <v>2</v>
      </c>
      <c r="P1923" s="4" t="e">
        <f>VLOOKUP(H1923,Stock_list!A:Y,25,FALSE)</f>
        <v>#N/A</v>
      </c>
      <c r="Q1923" s="143"/>
      <c r="T1923" s="144"/>
      <c r="U1923" s="145" t="e">
        <f>VLOOKUP(H1923,Stock_list!A:N,14,FALSE)</f>
        <v>#N/A</v>
      </c>
    </row>
    <row r="1924" spans="1:21" ht="16.5" customHeight="1">
      <c r="A1924" s="159" t="s">
        <v>264</v>
      </c>
      <c r="B1924" s="114" t="str">
        <f>VLOOKUP(A1924,'Data pick slip'!B:F,5,FALSE)</f>
        <v>KHJ-MC200-00</v>
      </c>
      <c r="F1924" s="157" t="s">
        <v>290</v>
      </c>
      <c r="I1924" s="139" t="s">
        <v>617</v>
      </c>
      <c r="J1924" s="139" t="s">
        <v>770</v>
      </c>
      <c r="K1924" s="51" t="s">
        <v>225</v>
      </c>
      <c r="L1924" s="4">
        <v>43920</v>
      </c>
      <c r="M1924" s="140">
        <v>10</v>
      </c>
      <c r="P1924" s="4" t="s">
        <v>214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264</v>
      </c>
      <c r="B1925" s="114" t="str">
        <f>VLOOKUP(A1925,'Data pick slip'!B:F,5,FALSE)</f>
        <v>KHJ-MC200-00</v>
      </c>
      <c r="F1925" s="157" t="s">
        <v>290</v>
      </c>
      <c r="H1925" s="138">
        <v>597</v>
      </c>
      <c r="I1925" s="139" t="e">
        <f>VLOOKUP(H1925,Stock_list!A:R,18,FALSE)</f>
        <v>#N/A</v>
      </c>
      <c r="J1925" s="139" t="e">
        <f>VLOOKUP(H1925,Stock_list!A:S,17,FALSE)</f>
        <v>#N/A</v>
      </c>
      <c r="K1925" s="51" t="e">
        <f>VLOOKUP(H1925,Stock_list!A:T,16,FALSE)</f>
        <v>#N/A</v>
      </c>
      <c r="L1925" s="4">
        <v>43949</v>
      </c>
      <c r="M1925" s="132">
        <v>15</v>
      </c>
      <c r="P1925" s="4" t="e">
        <f>VLOOKUP(H1925,Stock_list!A:Y,25,FALSE)</f>
        <v>#N/A</v>
      </c>
      <c r="Q1925" s="143"/>
      <c r="T1925" s="144"/>
      <c r="U1925" s="145" t="e">
        <f>VLOOKUP(H1925,Stock_list!A:N,14,FALSE)</f>
        <v>#N/A</v>
      </c>
    </row>
    <row r="1926" spans="1:21" ht="16.5" customHeight="1">
      <c r="A1926" s="159" t="s">
        <v>265</v>
      </c>
      <c r="B1926" s="114" t="str">
        <f>VLOOKUP(A1926,'Data pick slip'!B:F,5,FALSE)</f>
        <v>KHJ-MC400-00</v>
      </c>
      <c r="F1926" s="157" t="s">
        <v>290</v>
      </c>
      <c r="H1926" s="138">
        <v>597</v>
      </c>
      <c r="I1926" s="139" t="e">
        <f>VLOOKUP(H1926,Stock_list!A:R,18,FALSE)</f>
        <v>#N/A</v>
      </c>
      <c r="J1926" s="139" t="e">
        <f>VLOOKUP(H1926,Stock_list!A:S,17,FALSE)</f>
        <v>#N/A</v>
      </c>
      <c r="K1926" s="51" t="e">
        <f>VLOOKUP(H1926,Stock_list!A:T,16,FALSE)</f>
        <v>#N/A</v>
      </c>
      <c r="L1926" s="4">
        <v>43949</v>
      </c>
      <c r="M1926" s="132">
        <v>5</v>
      </c>
      <c r="P1926" s="4" t="e">
        <f>VLOOKUP(H1926,Stock_list!A:Y,25,FALSE)</f>
        <v>#N/A</v>
      </c>
      <c r="Q1926" s="143"/>
      <c r="T1926" s="144"/>
      <c r="U1926" s="145" t="e">
        <f>VLOOKUP(H1926,Stock_list!A:N,14,FALSE)</f>
        <v>#N/A</v>
      </c>
    </row>
    <row r="1927" spans="1:21" ht="16.5" customHeight="1">
      <c r="A1927" s="159" t="s">
        <v>266</v>
      </c>
      <c r="B1927" s="114" t="str">
        <f>VLOOKUP(A1927,'Data pick slip'!B:F,5,FALSE)</f>
        <v>KHJ-MC500-00</v>
      </c>
      <c r="F1927" s="157" t="s">
        <v>290</v>
      </c>
      <c r="H1927" s="138">
        <v>597</v>
      </c>
      <c r="I1927" s="139" t="e">
        <f>VLOOKUP(H1927,Stock_list!A:R,18,FALSE)</f>
        <v>#N/A</v>
      </c>
      <c r="J1927" s="139" t="e">
        <f>VLOOKUP(H1927,Stock_list!A:S,17,FALSE)</f>
        <v>#N/A</v>
      </c>
      <c r="K1927" s="51" t="e">
        <f>VLOOKUP(H1927,Stock_list!A:T,16,FALSE)</f>
        <v>#N/A</v>
      </c>
      <c r="L1927" s="4">
        <v>43949</v>
      </c>
      <c r="M1927" s="132">
        <v>4</v>
      </c>
      <c r="P1927" s="4" t="e">
        <f>VLOOKUP(H1927,Stock_list!A:Y,25,FALSE)</f>
        <v>#N/A</v>
      </c>
      <c r="Q1927" s="143"/>
      <c r="T1927" s="144"/>
      <c r="U1927" s="145" t="e">
        <f>VLOOKUP(H1927,Stock_list!A:N,14,FALSE)</f>
        <v>#N/A</v>
      </c>
    </row>
    <row r="1928" spans="1:21" ht="16.5" customHeight="1">
      <c r="A1928" s="159" t="s">
        <v>267</v>
      </c>
      <c r="B1928" s="114" t="str">
        <f>VLOOKUP(A1928,'Data pick slip'!B:F,5,FALSE)</f>
        <v>KHJ-MC600-00</v>
      </c>
      <c r="F1928" s="157" t="s">
        <v>290</v>
      </c>
      <c r="H1928" s="138">
        <v>597</v>
      </c>
      <c r="I1928" s="139" t="e">
        <f>VLOOKUP(H1928,Stock_list!A:R,18,FALSE)</f>
        <v>#N/A</v>
      </c>
      <c r="J1928" s="139" t="e">
        <f>VLOOKUP(H1928,Stock_list!A:S,17,FALSE)</f>
        <v>#N/A</v>
      </c>
      <c r="K1928" s="51" t="e">
        <f>VLOOKUP(H1928,Stock_list!A:T,16,FALSE)</f>
        <v>#N/A</v>
      </c>
      <c r="L1928" s="4">
        <v>43949</v>
      </c>
      <c r="M1928" s="132">
        <v>4</v>
      </c>
      <c r="P1928" s="4" t="e">
        <f>VLOOKUP(H1928,Stock_list!A:Y,25,FALSE)</f>
        <v>#N/A</v>
      </c>
      <c r="Q1928" s="143"/>
      <c r="T1928" s="144"/>
      <c r="U1928" s="145" t="e">
        <f>VLOOKUP(H1928,Stock_list!A:N,14,FALSE)</f>
        <v>#N/A</v>
      </c>
    </row>
    <row r="1929" spans="1:21" ht="16.5" customHeight="1">
      <c r="A1929" s="159" t="s">
        <v>261</v>
      </c>
      <c r="B1929" s="114" t="str">
        <f>VLOOKUP(A1929,'Data pick slip'!B:F,5,FALSE)</f>
        <v>KHJ-MC100-00</v>
      </c>
      <c r="F1929" s="157" t="s">
        <v>379</v>
      </c>
      <c r="H1929" s="138">
        <v>607</v>
      </c>
      <c r="I1929" s="139" t="e">
        <f>VLOOKUP(H1929,Stock_list!A:R,18,FALSE)</f>
        <v>#N/A</v>
      </c>
      <c r="J1929" s="139" t="e">
        <f>VLOOKUP(H1929,Stock_list!A:S,17,FALSE)</f>
        <v>#N/A</v>
      </c>
      <c r="K1929" s="51" t="e">
        <f>VLOOKUP(H1929,Stock_list!A:T,16,FALSE)</f>
        <v>#N/A</v>
      </c>
      <c r="L1929" s="4">
        <v>43923</v>
      </c>
      <c r="M1929" s="132">
        <v>80</v>
      </c>
      <c r="P1929" s="4" t="e">
        <f>VLOOKUP(H1929,Stock_list!A:Y,25,FALSE)</f>
        <v>#N/A</v>
      </c>
      <c r="Q1929" s="143"/>
      <c r="T1929" s="144"/>
      <c r="U1929" s="145" t="e">
        <f>VLOOKUP(H1929,Stock_list!A:N,14,FALSE)</f>
        <v>#N/A</v>
      </c>
    </row>
    <row r="1930" spans="1:21" ht="16.5" customHeight="1">
      <c r="A1930" s="159" t="s">
        <v>264</v>
      </c>
      <c r="B1930" s="114" t="str">
        <f>VLOOKUP(A1930,'Data pick slip'!B:F,5,FALSE)</f>
        <v>KHJ-MC200-00</v>
      </c>
      <c r="F1930" s="157" t="s">
        <v>379</v>
      </c>
      <c r="H1930" s="138">
        <v>607</v>
      </c>
      <c r="I1930" s="139" t="e">
        <f>VLOOKUP(H1930,Stock_list!A:R,18,FALSE)</f>
        <v>#N/A</v>
      </c>
      <c r="J1930" s="139" t="e">
        <f>VLOOKUP(H1930,Stock_list!A:S,17,FALSE)</f>
        <v>#N/A</v>
      </c>
      <c r="K1930" s="51" t="e">
        <f>VLOOKUP(H1930,Stock_list!A:T,16,FALSE)</f>
        <v>#N/A</v>
      </c>
      <c r="L1930" s="4">
        <v>43923</v>
      </c>
      <c r="M1930" s="132">
        <v>15</v>
      </c>
      <c r="P1930" s="4" t="e">
        <f>VLOOKUP(H1930,Stock_list!A:Y,25,FALSE)</f>
        <v>#N/A</v>
      </c>
      <c r="Q1930" s="143"/>
      <c r="T1930" s="144"/>
      <c r="U1930" s="145" t="e">
        <f>VLOOKUP(H1930,Stock_list!A:N,14,FALSE)</f>
        <v>#N/A</v>
      </c>
    </row>
    <row r="1931" spans="1:21" ht="16.5" customHeight="1">
      <c r="A1931" s="159" t="s">
        <v>261</v>
      </c>
      <c r="B1931" s="114" t="str">
        <f>VLOOKUP(A1931,'Data pick slip'!B:F,5,FALSE)</f>
        <v>KHJ-MC100-00</v>
      </c>
      <c r="F1931" s="157" t="s">
        <v>290</v>
      </c>
      <c r="H1931" s="138">
        <v>608</v>
      </c>
      <c r="I1931" s="139" t="e">
        <f>VLOOKUP(H1931,Stock_list!A:R,18,FALSE)</f>
        <v>#N/A</v>
      </c>
      <c r="J1931" s="139" t="e">
        <f>VLOOKUP(H1931,Stock_list!A:S,17,FALSE)</f>
        <v>#N/A</v>
      </c>
      <c r="K1931" s="51" t="e">
        <f>VLOOKUP(H1931,Stock_list!A:T,16,FALSE)</f>
        <v>#N/A</v>
      </c>
      <c r="L1931" s="4">
        <v>43934</v>
      </c>
      <c r="M1931" s="140">
        <v>25</v>
      </c>
      <c r="P1931" s="4" t="e">
        <f>VLOOKUP(H1931,Stock_list!A:Y,25,FALSE)</f>
        <v>#N/A</v>
      </c>
      <c r="Q1931" s="143"/>
      <c r="T1931" s="144"/>
      <c r="U1931" s="145" t="e">
        <f>VLOOKUP(H1931,Stock_list!A:N,14,FALSE)</f>
        <v>#N/A</v>
      </c>
    </row>
    <row r="1932" spans="1:21" ht="16.5" customHeight="1">
      <c r="A1932" s="159" t="s">
        <v>266</v>
      </c>
      <c r="B1932" s="114" t="str">
        <f>VLOOKUP(A1932,'Data pick slip'!B:F,5,FALSE)</f>
        <v>KHJ-MC500-00</v>
      </c>
      <c r="F1932" s="157" t="s">
        <v>290</v>
      </c>
      <c r="I1932" s="139" t="s">
        <v>623</v>
      </c>
      <c r="J1932" s="139" t="s">
        <v>771</v>
      </c>
      <c r="K1932" s="51" t="s">
        <v>225</v>
      </c>
      <c r="L1932" s="4">
        <v>43917</v>
      </c>
      <c r="M1932" s="140">
        <v>1</v>
      </c>
      <c r="P1932" s="4" t="s">
        <v>214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265</v>
      </c>
      <c r="B1933" s="114" t="str">
        <f>VLOOKUP(A1933,'Data pick slip'!B:F,5,FALSE)</f>
        <v>KHJ-MC400-00</v>
      </c>
      <c r="F1933" s="157" t="s">
        <v>290</v>
      </c>
      <c r="I1933" s="139" t="s">
        <v>623</v>
      </c>
      <c r="J1933" s="139" t="s">
        <v>771</v>
      </c>
      <c r="K1933" s="51" t="s">
        <v>225</v>
      </c>
      <c r="L1933" s="4">
        <v>43917</v>
      </c>
      <c r="M1933" s="140">
        <v>1</v>
      </c>
      <c r="P1933" s="4" t="s">
        <v>214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267</v>
      </c>
      <c r="B1934" s="114" t="str">
        <f>VLOOKUP(A1934,'Data pick slip'!B:F,5,FALSE)</f>
        <v>KHJ-MC600-00</v>
      </c>
      <c r="F1934" s="157" t="s">
        <v>290</v>
      </c>
      <c r="I1934" s="139" t="s">
        <v>623</v>
      </c>
      <c r="J1934" s="139" t="s">
        <v>771</v>
      </c>
      <c r="K1934" s="51" t="s">
        <v>225</v>
      </c>
      <c r="L1934" s="4">
        <v>43917</v>
      </c>
      <c r="M1934" s="140">
        <v>1</v>
      </c>
      <c r="P1934" s="4" t="s">
        <v>214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264</v>
      </c>
      <c r="B1935" s="114" t="str">
        <f>VLOOKUP(A1935,'Data pick slip'!B:F,5,FALSE)</f>
        <v>KHJ-MC200-00</v>
      </c>
      <c r="F1935" s="157" t="s">
        <v>290</v>
      </c>
      <c r="I1935" s="139" t="s">
        <v>772</v>
      </c>
      <c r="J1935" s="139" t="s">
        <v>773</v>
      </c>
      <c r="K1935" s="51" t="s">
        <v>225</v>
      </c>
      <c r="L1935" s="4">
        <v>43920</v>
      </c>
      <c r="M1935" s="140">
        <v>3</v>
      </c>
      <c r="P1935" s="4" t="s">
        <v>214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261</v>
      </c>
      <c r="B1936" s="114" t="str">
        <f>VLOOKUP(A1936,'Data pick slip'!B:F,5,FALSE)</f>
        <v>KHJ-MC100-00</v>
      </c>
      <c r="F1936" s="157" t="s">
        <v>379</v>
      </c>
      <c r="H1936" s="138">
        <v>609</v>
      </c>
      <c r="I1936" s="139" t="e">
        <f>VLOOKUP(H1936,Stock_list!A:R,18,FALSE)</f>
        <v>#N/A</v>
      </c>
      <c r="J1936" s="139" t="e">
        <f>VLOOKUP(H1936,Stock_list!A:S,17,FALSE)</f>
        <v>#N/A</v>
      </c>
      <c r="K1936" s="51" t="e">
        <f>VLOOKUP(H1936,Stock_list!A:T,16,FALSE)</f>
        <v>#N/A</v>
      </c>
      <c r="L1936" s="4">
        <v>43980</v>
      </c>
      <c r="M1936" s="132">
        <v>220</v>
      </c>
      <c r="P1936" s="4" t="e">
        <f>VLOOKUP(H1936,Stock_list!A:Y,25,FALSE)</f>
        <v>#N/A</v>
      </c>
      <c r="Q1936" s="143"/>
      <c r="T1936" s="144"/>
      <c r="U1936" s="145" t="e">
        <f>VLOOKUP(H1936,Stock_list!A:N,14,FALSE)</f>
        <v>#N/A</v>
      </c>
    </row>
    <row r="1937" spans="1:21" ht="16.5" customHeight="1">
      <c r="A1937" s="159" t="s">
        <v>264</v>
      </c>
      <c r="B1937" s="114" t="str">
        <f>VLOOKUP(A1937,'Data pick slip'!B:F,5,FALSE)</f>
        <v>KHJ-MC200-00</v>
      </c>
      <c r="F1937" s="157" t="s">
        <v>379</v>
      </c>
      <c r="H1937" s="138">
        <v>609</v>
      </c>
      <c r="I1937" s="139" t="e">
        <f>VLOOKUP(H1937,Stock_list!A:R,18,FALSE)</f>
        <v>#N/A</v>
      </c>
      <c r="J1937" s="139" t="e">
        <f>VLOOKUP(H1937,Stock_list!A:S,17,FALSE)</f>
        <v>#N/A</v>
      </c>
      <c r="K1937" s="51" t="e">
        <f>VLOOKUP(H1937,Stock_list!A:T,16,FALSE)</f>
        <v>#N/A</v>
      </c>
      <c r="L1937" s="4">
        <v>43980</v>
      </c>
      <c r="M1937" s="132">
        <v>25</v>
      </c>
      <c r="P1937" s="4" t="e">
        <f>VLOOKUP(H1937,Stock_list!A:Y,25,FALSE)</f>
        <v>#N/A</v>
      </c>
      <c r="Q1937" s="143"/>
      <c r="T1937" s="144"/>
      <c r="U1937" s="145" t="e">
        <f>VLOOKUP(H1937,Stock_list!A:N,14,FALSE)</f>
        <v>#N/A</v>
      </c>
    </row>
    <row r="1938" spans="1:21" ht="16.5" customHeight="1">
      <c r="A1938" s="159" t="s">
        <v>264</v>
      </c>
      <c r="B1938" s="114" t="str">
        <f>VLOOKUP(A1938,'Data pick slip'!B:F,5,FALSE)</f>
        <v>KHJ-MC200-00</v>
      </c>
      <c r="F1938" s="157" t="s">
        <v>290</v>
      </c>
      <c r="H1938" s="138">
        <v>609</v>
      </c>
      <c r="I1938" s="139" t="e">
        <f>VLOOKUP(H1938,Stock_list!A:R,18,FALSE)</f>
        <v>#N/A</v>
      </c>
      <c r="J1938" s="139" t="e">
        <f>VLOOKUP(H1938,Stock_list!A:S,17,FALSE)</f>
        <v>#N/A</v>
      </c>
      <c r="K1938" s="51" t="e">
        <f>VLOOKUP(H1938,Stock_list!A:T,16,FALSE)</f>
        <v>#N/A</v>
      </c>
      <c r="L1938" s="4">
        <v>43980</v>
      </c>
      <c r="M1938" s="132">
        <v>30</v>
      </c>
      <c r="P1938" s="4" t="e">
        <f>VLOOKUP(H1938,Stock_list!A:Y,25,FALSE)</f>
        <v>#N/A</v>
      </c>
      <c r="Q1938" s="143"/>
      <c r="S1938" s="123" t="s">
        <v>521</v>
      </c>
      <c r="T1938" s="144" t="s">
        <v>774</v>
      </c>
      <c r="U1938" s="145" t="e">
        <f>VLOOKUP(H1938,Stock_list!A:N,14,FALSE)</f>
        <v>#N/A</v>
      </c>
    </row>
    <row r="1939" spans="1:21" ht="16.5" customHeight="1">
      <c r="A1939" s="159" t="s">
        <v>265</v>
      </c>
      <c r="B1939" s="114" t="str">
        <f>VLOOKUP(A1939,'Data pick slip'!B:F,5,FALSE)</f>
        <v>KHJ-MC400-00</v>
      </c>
      <c r="F1939" s="157" t="s">
        <v>290</v>
      </c>
      <c r="H1939" s="138">
        <v>609</v>
      </c>
      <c r="I1939" s="139" t="e">
        <f>VLOOKUP(H1939,Stock_list!A:R,18,FALSE)</f>
        <v>#N/A</v>
      </c>
      <c r="J1939" s="139" t="e">
        <f>VLOOKUP(H1939,Stock_list!A:S,17,FALSE)</f>
        <v>#N/A</v>
      </c>
      <c r="K1939" s="51" t="e">
        <f>VLOOKUP(H1939,Stock_list!A:T,16,FALSE)</f>
        <v>#N/A</v>
      </c>
      <c r="L1939" s="4">
        <v>43980</v>
      </c>
      <c r="M1939" s="132">
        <v>5</v>
      </c>
      <c r="P1939" s="4" t="e">
        <f>VLOOKUP(H1939,Stock_list!A:Y,25,FALSE)</f>
        <v>#N/A</v>
      </c>
      <c r="Q1939" s="143"/>
      <c r="S1939" s="123" t="s">
        <v>521</v>
      </c>
      <c r="T1939" s="144" t="s">
        <v>774</v>
      </c>
      <c r="U1939" s="145" t="e">
        <f>VLOOKUP(H1939,Stock_list!A:N,14,FALSE)</f>
        <v>#N/A</v>
      </c>
    </row>
    <row r="1940" spans="1:21" ht="16.5" customHeight="1">
      <c r="A1940" s="159" t="s">
        <v>266</v>
      </c>
      <c r="B1940" s="114" t="str">
        <f>VLOOKUP(A1940,'Data pick slip'!B:F,5,FALSE)</f>
        <v>KHJ-MC500-00</v>
      </c>
      <c r="F1940" s="157" t="s">
        <v>379</v>
      </c>
      <c r="H1940" s="138">
        <v>609</v>
      </c>
      <c r="I1940" s="139" t="e">
        <f>VLOOKUP(H1940,Stock_list!A:R,18,FALSE)</f>
        <v>#N/A</v>
      </c>
      <c r="J1940" s="139" t="e">
        <f>VLOOKUP(H1940,Stock_list!A:S,17,FALSE)</f>
        <v>#N/A</v>
      </c>
      <c r="K1940" s="51" t="e">
        <f>VLOOKUP(H1940,Stock_list!A:T,16,FALSE)</f>
        <v>#N/A</v>
      </c>
      <c r="L1940" s="4">
        <v>43980</v>
      </c>
      <c r="M1940" s="132">
        <v>4</v>
      </c>
      <c r="P1940" s="4" t="e">
        <f>VLOOKUP(H1940,Stock_list!A:Y,25,FALSE)</f>
        <v>#N/A</v>
      </c>
      <c r="Q1940" s="143"/>
      <c r="T1940" s="144"/>
      <c r="U1940" s="145" t="e">
        <f>VLOOKUP(H1940,Stock_list!A:N,14,FALSE)</f>
        <v>#N/A</v>
      </c>
    </row>
    <row r="1941" spans="1:21" ht="16.5" customHeight="1">
      <c r="A1941" s="159" t="s">
        <v>331</v>
      </c>
      <c r="B1941" s="114" t="str">
        <f>VLOOKUP(A1941,'Data pick slip'!B:F,5,FALSE)</f>
        <v>KHJ-MC600-00</v>
      </c>
      <c r="F1941" s="157" t="s">
        <v>379</v>
      </c>
      <c r="H1941" s="138">
        <v>609</v>
      </c>
      <c r="I1941" s="139" t="e">
        <f>VLOOKUP(H1941,Stock_list!A:R,18,FALSE)</f>
        <v>#N/A</v>
      </c>
      <c r="J1941" s="139" t="e">
        <f>VLOOKUP(H1941,Stock_list!A:S,17,FALSE)</f>
        <v>#N/A</v>
      </c>
      <c r="K1941" s="51" t="e">
        <f>VLOOKUP(H1941,Stock_list!A:T,16,FALSE)</f>
        <v>#N/A</v>
      </c>
      <c r="L1941" s="4">
        <v>43980</v>
      </c>
      <c r="M1941" s="132">
        <v>2</v>
      </c>
      <c r="P1941" s="4" t="e">
        <f>VLOOKUP(H1941,Stock_list!A:Y,25,FALSE)</f>
        <v>#N/A</v>
      </c>
      <c r="Q1941" s="143"/>
      <c r="T1941" s="144"/>
      <c r="U1941" s="145" t="e">
        <f>VLOOKUP(H1941,Stock_list!A:N,14,FALSE)</f>
        <v>#N/A</v>
      </c>
    </row>
    <row r="1942" spans="1:21" ht="16.5" customHeight="1">
      <c r="A1942" s="159" t="s">
        <v>264</v>
      </c>
      <c r="B1942" s="114" t="str">
        <f>VLOOKUP(A1942,'Data pick slip'!B:F,5,FALSE)</f>
        <v>KHJ-MC200-00</v>
      </c>
      <c r="F1942" s="157" t="s">
        <v>290</v>
      </c>
      <c r="I1942" s="139" t="s">
        <v>657</v>
      </c>
      <c r="J1942" s="139" t="s">
        <v>775</v>
      </c>
      <c r="K1942" s="51" t="s">
        <v>225</v>
      </c>
      <c r="L1942" s="4">
        <v>43922</v>
      </c>
      <c r="M1942" s="140">
        <v>1</v>
      </c>
      <c r="P1942" s="4" t="s">
        <v>214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267</v>
      </c>
      <c r="B1943" s="114" t="str">
        <f>VLOOKUP(A1943,'Data pick slip'!B:F,5,FALSE)</f>
        <v>KHJ-MC600-00</v>
      </c>
      <c r="F1943" s="157" t="s">
        <v>290</v>
      </c>
      <c r="I1943" s="139" t="s">
        <v>611</v>
      </c>
      <c r="J1943" s="139" t="s">
        <v>776</v>
      </c>
      <c r="K1943" s="51" t="s">
        <v>225</v>
      </c>
      <c r="L1943" s="4">
        <v>43922</v>
      </c>
      <c r="M1943" s="140">
        <v>1</v>
      </c>
      <c r="P1943" s="4" t="s">
        <v>214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265</v>
      </c>
      <c r="B1944" s="114" t="str">
        <f>VLOOKUP(A1944,'Data pick slip'!B:F,5,FALSE)</f>
        <v>KHJ-MC400-00</v>
      </c>
      <c r="F1944" s="157" t="s">
        <v>290</v>
      </c>
      <c r="I1944" s="139" t="s">
        <v>617</v>
      </c>
      <c r="J1944" s="139" t="s">
        <v>777</v>
      </c>
      <c r="K1944" s="51" t="s">
        <v>225</v>
      </c>
      <c r="L1944" s="4">
        <v>43922</v>
      </c>
      <c r="M1944" s="140">
        <v>3</v>
      </c>
      <c r="P1944" s="4" t="s">
        <v>214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264</v>
      </c>
      <c r="B1945" s="114" t="str">
        <f>VLOOKUP(A1945,'Data pick slip'!B:F,5,FALSE)</f>
        <v>KHJ-MC200-00</v>
      </c>
      <c r="F1945" s="157" t="s">
        <v>290</v>
      </c>
      <c r="I1945" s="139" t="s">
        <v>611</v>
      </c>
      <c r="J1945" s="139" t="s">
        <v>778</v>
      </c>
      <c r="K1945" s="51" t="s">
        <v>225</v>
      </c>
      <c r="L1945" s="4">
        <v>43923</v>
      </c>
      <c r="M1945" s="140">
        <v>5</v>
      </c>
      <c r="P1945" s="4" t="s">
        <v>214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267</v>
      </c>
      <c r="B1946" s="114" t="str">
        <f>VLOOKUP(A1946,'Data pick slip'!B:F,5,FALSE)</f>
        <v>KHJ-MC600-00</v>
      </c>
      <c r="F1946" s="157" t="s">
        <v>290</v>
      </c>
      <c r="I1946" s="139" t="s">
        <v>611</v>
      </c>
      <c r="J1946" s="139" t="s">
        <v>778</v>
      </c>
      <c r="K1946" s="51" t="s">
        <v>225</v>
      </c>
      <c r="L1946" s="4">
        <v>43923</v>
      </c>
      <c r="M1946" s="140">
        <v>1</v>
      </c>
      <c r="P1946" s="4" t="s">
        <v>214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261</v>
      </c>
      <c r="B1947" s="114" t="str">
        <f>VLOOKUP(A1947,'Data pick slip'!B:F,5,FALSE)</f>
        <v>KHJ-MC100-00</v>
      </c>
      <c r="F1947" s="157" t="s">
        <v>290</v>
      </c>
      <c r="H1947" s="138">
        <v>613</v>
      </c>
      <c r="I1947" s="139" t="e">
        <f>VLOOKUP(H1947,Stock_list!A:R,18,FALSE)</f>
        <v>#N/A</v>
      </c>
      <c r="J1947" s="139" t="e">
        <f>VLOOKUP(H1947,Stock_list!A:S,17,FALSE)</f>
        <v>#N/A</v>
      </c>
      <c r="K1947" s="51" t="e">
        <f>VLOOKUP(H1947,Stock_list!A:T,16,FALSE)</f>
        <v>#N/A</v>
      </c>
      <c r="L1947" s="4">
        <v>43941</v>
      </c>
      <c r="M1947" s="132">
        <v>60</v>
      </c>
      <c r="P1947" s="4" t="e">
        <f>VLOOKUP(H1947,Stock_list!A:Y,25,FALSE)</f>
        <v>#N/A</v>
      </c>
      <c r="Q1947" s="143"/>
      <c r="T1947" s="144"/>
      <c r="U1947" s="145" t="e">
        <f>VLOOKUP(H1947,Stock_list!A:N,14,FALSE)</f>
        <v>#N/A</v>
      </c>
    </row>
    <row r="1948" spans="1:21" ht="16.5" customHeight="1">
      <c r="A1948" s="159" t="s">
        <v>264</v>
      </c>
      <c r="B1948" s="114" t="str">
        <f>VLOOKUP(A1948,'Data pick slip'!B:F,5,FALSE)</f>
        <v>KHJ-MC200-00</v>
      </c>
      <c r="F1948" s="157" t="s">
        <v>290</v>
      </c>
      <c r="H1948" s="138">
        <v>613</v>
      </c>
      <c r="I1948" s="139" t="e">
        <f>VLOOKUP(H1948,Stock_list!A:R,18,FALSE)</f>
        <v>#N/A</v>
      </c>
      <c r="J1948" s="139" t="e">
        <f>VLOOKUP(H1948,Stock_list!A:S,17,FALSE)</f>
        <v>#N/A</v>
      </c>
      <c r="K1948" s="51" t="e">
        <f>VLOOKUP(H1948,Stock_list!A:T,16,FALSE)</f>
        <v>#N/A</v>
      </c>
      <c r="L1948" s="4">
        <v>43941</v>
      </c>
      <c r="M1948" s="132">
        <v>10</v>
      </c>
      <c r="P1948" s="4" t="e">
        <f>VLOOKUP(H1948,Stock_list!A:Y,25,FALSE)</f>
        <v>#N/A</v>
      </c>
      <c r="Q1948" s="143"/>
      <c r="T1948" s="144"/>
      <c r="U1948" s="145" t="e">
        <f>VLOOKUP(H1948,Stock_list!A:N,14,FALSE)</f>
        <v>#N/A</v>
      </c>
    </row>
    <row r="1949" spans="1:21" ht="16.5" customHeight="1">
      <c r="A1949" s="159" t="s">
        <v>265</v>
      </c>
      <c r="B1949" s="114" t="str">
        <f>VLOOKUP(A1949,'Data pick slip'!B:F,5,FALSE)</f>
        <v>KHJ-MC400-00</v>
      </c>
      <c r="F1949" s="157" t="s">
        <v>290</v>
      </c>
      <c r="H1949" s="138">
        <v>613</v>
      </c>
      <c r="I1949" s="139" t="e">
        <f>VLOOKUP(H1949,Stock_list!A:R,18,FALSE)</f>
        <v>#N/A</v>
      </c>
      <c r="J1949" s="139" t="e">
        <f>VLOOKUP(H1949,Stock_list!A:S,17,FALSE)</f>
        <v>#N/A</v>
      </c>
      <c r="K1949" s="51" t="e">
        <f>VLOOKUP(H1949,Stock_list!A:T,16,FALSE)</f>
        <v>#N/A</v>
      </c>
      <c r="L1949" s="4">
        <v>43941</v>
      </c>
      <c r="M1949" s="132">
        <v>2</v>
      </c>
      <c r="P1949" s="4" t="e">
        <f>VLOOKUP(H1949,Stock_list!A:Y,25,FALSE)</f>
        <v>#N/A</v>
      </c>
      <c r="Q1949" s="143"/>
      <c r="T1949" s="144"/>
      <c r="U1949" s="145" t="e">
        <f>VLOOKUP(H1949,Stock_list!A:N,14,FALSE)</f>
        <v>#N/A</v>
      </c>
    </row>
    <row r="1950" spans="1:21" ht="16.5" customHeight="1">
      <c r="A1950" s="159" t="s">
        <v>261</v>
      </c>
      <c r="B1950" s="114" t="str">
        <f>VLOOKUP(A1950,'Data pick slip'!B:F,5,FALSE)</f>
        <v>KHJ-MC100-00</v>
      </c>
      <c r="F1950" s="157" t="s">
        <v>379</v>
      </c>
      <c r="I1950" s="139" t="s">
        <v>533</v>
      </c>
      <c r="J1950" s="139" t="s">
        <v>779</v>
      </c>
      <c r="K1950" s="51" t="s">
        <v>225</v>
      </c>
      <c r="L1950" s="4">
        <v>43930</v>
      </c>
      <c r="M1950" s="140">
        <v>65</v>
      </c>
      <c r="P1950" s="4" t="s">
        <v>214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264</v>
      </c>
      <c r="B1951" s="114" t="str">
        <f>VLOOKUP(A1951,'Data pick slip'!B:F,5,FALSE)</f>
        <v>KHJ-MC200-00</v>
      </c>
      <c r="F1951" s="157" t="s">
        <v>379</v>
      </c>
      <c r="I1951" s="139" t="s">
        <v>533</v>
      </c>
      <c r="J1951" s="139" t="s">
        <v>779</v>
      </c>
      <c r="K1951" s="51" t="s">
        <v>225</v>
      </c>
      <c r="L1951" s="4">
        <v>43930</v>
      </c>
      <c r="M1951" s="140">
        <v>10</v>
      </c>
      <c r="P1951" s="4" t="s">
        <v>214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265</v>
      </c>
      <c r="B1952" s="114" t="str">
        <f>VLOOKUP(A1952,'Data pick slip'!B:F,5,FALSE)</f>
        <v>KHJ-MC400-00</v>
      </c>
      <c r="F1952" s="157" t="s">
        <v>379</v>
      </c>
      <c r="I1952" s="139" t="s">
        <v>533</v>
      </c>
      <c r="J1952" s="139" t="s">
        <v>779</v>
      </c>
      <c r="K1952" s="51" t="s">
        <v>225</v>
      </c>
      <c r="L1952" s="4">
        <v>43930</v>
      </c>
      <c r="M1952" s="140">
        <v>6</v>
      </c>
      <c r="P1952" s="4" t="s">
        <v>214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264</v>
      </c>
      <c r="B1953" s="114" t="str">
        <f>VLOOKUP(A1953,'Data pick slip'!B:F,5,FALSE)</f>
        <v>KHJ-MC200-00</v>
      </c>
      <c r="F1953" s="157" t="s">
        <v>290</v>
      </c>
      <c r="I1953" s="139" t="s">
        <v>623</v>
      </c>
      <c r="J1953" s="139" t="s">
        <v>780</v>
      </c>
      <c r="K1953" s="51" t="s">
        <v>225</v>
      </c>
      <c r="L1953" s="4">
        <v>43935</v>
      </c>
      <c r="M1953" s="140">
        <v>3</v>
      </c>
      <c r="P1953" s="4" t="s">
        <v>214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264</v>
      </c>
      <c r="B1954" s="114" t="str">
        <f>VLOOKUP(A1954,'Data pick slip'!B:F,5,FALSE)</f>
        <v>KHJ-MC200-00</v>
      </c>
      <c r="F1954" s="157" t="s">
        <v>290</v>
      </c>
      <c r="I1954" s="139" t="s">
        <v>611</v>
      </c>
      <c r="J1954" s="139" t="s">
        <v>781</v>
      </c>
      <c r="K1954" s="51" t="s">
        <v>225</v>
      </c>
      <c r="L1954" s="4">
        <v>43935</v>
      </c>
      <c r="M1954" s="140">
        <v>5</v>
      </c>
      <c r="P1954" s="4" t="s">
        <v>214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266</v>
      </c>
      <c r="B1955" s="114" t="str">
        <f>VLOOKUP(A1955,'Data pick slip'!B:F,5,FALSE)</f>
        <v>KHJ-MC500-00</v>
      </c>
      <c r="F1955" s="157" t="s">
        <v>290</v>
      </c>
      <c r="I1955" s="139" t="s">
        <v>611</v>
      </c>
      <c r="J1955" s="139" t="s">
        <v>756</v>
      </c>
      <c r="K1955" s="51" t="s">
        <v>225</v>
      </c>
      <c r="L1955" s="4">
        <v>43937</v>
      </c>
      <c r="O1955" s="132">
        <f>1-1</f>
        <v>0</v>
      </c>
      <c r="P1955" s="4" t="s">
        <v>214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264</v>
      </c>
      <c r="B1956" s="114" t="str">
        <f>VLOOKUP(A1956,'Data pick slip'!B:F,5,FALSE)</f>
        <v>KHJ-MC200-00</v>
      </c>
      <c r="F1956" s="157" t="s">
        <v>290</v>
      </c>
      <c r="I1956" s="139" t="s">
        <v>617</v>
      </c>
      <c r="J1956" s="139" t="s">
        <v>782</v>
      </c>
      <c r="K1956" s="51" t="s">
        <v>225</v>
      </c>
      <c r="L1956" s="4">
        <v>43942</v>
      </c>
      <c r="M1956" s="132">
        <v>20</v>
      </c>
      <c r="P1956" s="4" t="s">
        <v>214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265</v>
      </c>
      <c r="B1957" s="114" t="str">
        <f>VLOOKUP(A1957,'Data pick slip'!B:F,5,FALSE)</f>
        <v>KHJ-MC400-00</v>
      </c>
      <c r="F1957" s="157" t="s">
        <v>290</v>
      </c>
      <c r="I1957" s="139" t="s">
        <v>617</v>
      </c>
      <c r="J1957" s="139" t="s">
        <v>783</v>
      </c>
      <c r="K1957" s="51" t="s">
        <v>225</v>
      </c>
      <c r="L1957" s="4">
        <v>43942</v>
      </c>
      <c r="M1957" s="132">
        <v>4</v>
      </c>
      <c r="P1957" s="4" t="s">
        <v>214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266</v>
      </c>
      <c r="B1958" s="114" t="str">
        <f>VLOOKUP(A1958,'Data pick slip'!B:F,5,FALSE)</f>
        <v>KHJ-MC500-00</v>
      </c>
      <c r="F1958" s="157" t="s">
        <v>290</v>
      </c>
      <c r="I1958" s="139" t="s">
        <v>617</v>
      </c>
      <c r="J1958" s="139" t="s">
        <v>783</v>
      </c>
      <c r="K1958" s="51" t="s">
        <v>225</v>
      </c>
      <c r="L1958" s="4">
        <v>43942</v>
      </c>
      <c r="M1958" s="132">
        <v>5</v>
      </c>
      <c r="P1958" s="4" t="s">
        <v>214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267</v>
      </c>
      <c r="B1959" s="114" t="str">
        <f>VLOOKUP(A1959,'Data pick slip'!B:F,5,FALSE)</f>
        <v>KHJ-MC600-00</v>
      </c>
      <c r="F1959" s="157" t="s">
        <v>290</v>
      </c>
      <c r="I1959" s="139" t="s">
        <v>617</v>
      </c>
      <c r="J1959" s="139" t="s">
        <v>783</v>
      </c>
      <c r="K1959" s="51" t="s">
        <v>225</v>
      </c>
      <c r="L1959" s="4">
        <v>43942</v>
      </c>
      <c r="M1959" s="132">
        <v>4</v>
      </c>
      <c r="P1959" s="4" t="s">
        <v>214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264</v>
      </c>
      <c r="B1960" s="114" t="str">
        <f>VLOOKUP(A1960,'Data pick slip'!B:F,5,FALSE)</f>
        <v>KHJ-MC200-00</v>
      </c>
      <c r="F1960" s="157" t="s">
        <v>290</v>
      </c>
      <c r="I1960" s="139" t="s">
        <v>611</v>
      </c>
      <c r="J1960" s="139" t="s">
        <v>784</v>
      </c>
      <c r="K1960" s="51" t="s">
        <v>225</v>
      </c>
      <c r="L1960" s="4">
        <v>43938</v>
      </c>
      <c r="M1960" s="140">
        <v>1</v>
      </c>
      <c r="P1960" s="4" t="s">
        <v>214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261</v>
      </c>
      <c r="B1961" s="114" t="str">
        <f>VLOOKUP(A1961,'Data pick slip'!B:F,5,FALSE)</f>
        <v>KHJ-MC100-00</v>
      </c>
      <c r="F1961" s="157" t="s">
        <v>290</v>
      </c>
      <c r="H1961" s="138">
        <v>619</v>
      </c>
      <c r="I1961" s="139" t="e">
        <f>VLOOKUP(H1961,Stock_list!A:R,18,FALSE)</f>
        <v>#N/A</v>
      </c>
      <c r="J1961" s="139" t="e">
        <f>VLOOKUP(H1961,Stock_list!A:S,17,FALSE)</f>
        <v>#N/A</v>
      </c>
      <c r="K1961" s="51" t="e">
        <f>VLOOKUP(H1961,Stock_list!A:T,16,FALSE)</f>
        <v>#N/A</v>
      </c>
      <c r="L1961" s="4">
        <v>43971</v>
      </c>
      <c r="M1961" s="132">
        <v>40</v>
      </c>
      <c r="P1961" s="4" t="e">
        <f>VLOOKUP(H1961,Stock_list!A:Y,25,FALSE)</f>
        <v>#N/A</v>
      </c>
      <c r="Q1961" s="143"/>
      <c r="T1961" s="144"/>
      <c r="U1961" s="145" t="e">
        <f>VLOOKUP(H1961,Stock_list!A:N,14,FALSE)</f>
        <v>#N/A</v>
      </c>
    </row>
    <row r="1962" spans="1:21" ht="16.5" customHeight="1">
      <c r="A1962" s="159" t="s">
        <v>273</v>
      </c>
      <c r="B1962" s="114" t="str">
        <f>VLOOKUP(A1962,'Data pick slip'!B:F,5,FALSE)</f>
        <v>KLJ-MC200-00</v>
      </c>
      <c r="F1962" s="157" t="s">
        <v>290</v>
      </c>
      <c r="H1962" s="138">
        <v>619</v>
      </c>
      <c r="I1962" s="139" t="e">
        <f>VLOOKUP(H1962,Stock_list!A:R,18,FALSE)</f>
        <v>#N/A</v>
      </c>
      <c r="J1962" s="139" t="e">
        <f>VLOOKUP(H1962,Stock_list!A:S,17,FALSE)</f>
        <v>#N/A</v>
      </c>
      <c r="K1962" s="51" t="e">
        <f>VLOOKUP(H1962,Stock_list!A:T,16,FALSE)</f>
        <v>#N/A</v>
      </c>
      <c r="L1962" s="4">
        <v>43971</v>
      </c>
      <c r="M1962" s="132">
        <v>4</v>
      </c>
      <c r="P1962" s="4" t="e">
        <f>VLOOKUP(H1962,Stock_list!A:Y,25,FALSE)</f>
        <v>#N/A</v>
      </c>
      <c r="T1962" s="144"/>
      <c r="U1962" s="145" t="e">
        <f>VLOOKUP(H1962,Stock_list!A:N,14,FALSE)</f>
        <v>#N/A</v>
      </c>
    </row>
    <row r="1963" spans="1:21" ht="16.5" customHeight="1">
      <c r="A1963" s="159" t="s">
        <v>261</v>
      </c>
      <c r="B1963" s="114" t="str">
        <f>VLOOKUP(A1963,'Data pick slip'!B:F,5,FALSE)</f>
        <v>KHJ-MC100-00</v>
      </c>
      <c r="F1963" s="157" t="s">
        <v>290</v>
      </c>
      <c r="H1963" s="138">
        <v>623</v>
      </c>
      <c r="I1963" s="139" t="e">
        <f>VLOOKUP(H1963,Stock_list!A:R,18,FALSE)</f>
        <v>#N/A</v>
      </c>
      <c r="J1963" s="139" t="e">
        <f>VLOOKUP(H1963,Stock_list!A:S,17,FALSE)</f>
        <v>#N/A</v>
      </c>
      <c r="K1963" s="51" t="e">
        <f>VLOOKUP(H1963,Stock_list!A:T,16,FALSE)</f>
        <v>#N/A</v>
      </c>
      <c r="L1963" s="4">
        <v>43942</v>
      </c>
      <c r="M1963" s="132">
        <v>3</v>
      </c>
      <c r="P1963" s="4" t="e">
        <f>VLOOKUP(H1963,Stock_list!A:Y,25,FALSE)</f>
        <v>#N/A</v>
      </c>
      <c r="Q1963" s="143"/>
      <c r="T1963" s="144"/>
      <c r="U1963" s="145" t="e">
        <f>VLOOKUP(H1963,Stock_list!A:N,14,FALSE)</f>
        <v>#N/A</v>
      </c>
    </row>
    <row r="1964" spans="1:21" ht="16.5" customHeight="1">
      <c r="A1964" s="159" t="s">
        <v>261</v>
      </c>
      <c r="B1964" s="114" t="str">
        <f>VLOOKUP(A1964,'Data pick slip'!B:F,5,FALSE)</f>
        <v>KHJ-MC100-00</v>
      </c>
      <c r="F1964" s="157" t="s">
        <v>290</v>
      </c>
      <c r="H1964" s="138">
        <v>624</v>
      </c>
      <c r="I1964" s="139" t="e">
        <f>VLOOKUP(H1964,Stock_list!A:R,18,FALSE)</f>
        <v>#N/A</v>
      </c>
      <c r="J1964" s="139" t="e">
        <f>VLOOKUP(H1964,Stock_list!A:S,17,FALSE)</f>
        <v>#N/A</v>
      </c>
      <c r="K1964" s="51" t="e">
        <f>VLOOKUP(H1964,Stock_list!A:T,16,FALSE)</f>
        <v>#N/A</v>
      </c>
      <c r="L1964" s="4">
        <v>43994</v>
      </c>
      <c r="M1964" s="132">
        <v>40</v>
      </c>
      <c r="P1964" s="4" t="e">
        <f>VLOOKUP(H1964,Stock_list!A:Y,25,FALSE)</f>
        <v>#N/A</v>
      </c>
      <c r="Q1964" s="143"/>
      <c r="T1964" s="144"/>
      <c r="U1964" s="145" t="e">
        <f>VLOOKUP(H1964,Stock_list!A:N,14,FALSE)</f>
        <v>#N/A</v>
      </c>
    </row>
    <row r="1965" spans="1:21" ht="16.5" customHeight="1">
      <c r="A1965" s="159" t="s">
        <v>264</v>
      </c>
      <c r="B1965" s="114" t="str">
        <f>VLOOKUP(A1965,'Data pick slip'!B:F,5,FALSE)</f>
        <v>KHJ-MC200-00</v>
      </c>
      <c r="F1965" s="157" t="s">
        <v>290</v>
      </c>
      <c r="H1965" s="138">
        <v>624</v>
      </c>
      <c r="I1965" s="139" t="e">
        <f>VLOOKUP(H1965,Stock_list!A:R,18,FALSE)</f>
        <v>#N/A</v>
      </c>
      <c r="J1965" s="139" t="e">
        <f>VLOOKUP(H1965,Stock_list!A:S,17,FALSE)</f>
        <v>#N/A</v>
      </c>
      <c r="K1965" s="51" t="e">
        <f>VLOOKUP(H1965,Stock_list!A:T,16,FALSE)</f>
        <v>#N/A</v>
      </c>
      <c r="L1965" s="4">
        <v>43994</v>
      </c>
      <c r="M1965" s="132">
        <v>24</v>
      </c>
      <c r="P1965" s="4" t="e">
        <f>VLOOKUP(H1965,Stock_list!A:Y,25,FALSE)</f>
        <v>#N/A</v>
      </c>
      <c r="Q1965" s="143"/>
      <c r="T1965" s="144"/>
      <c r="U1965" s="145" t="e">
        <f>VLOOKUP(H1965,Stock_list!A:N,14,FALSE)</f>
        <v>#N/A</v>
      </c>
    </row>
    <row r="1966" spans="1:21" ht="16.5" customHeight="1">
      <c r="A1966" s="159" t="s">
        <v>265</v>
      </c>
      <c r="B1966" s="114" t="str">
        <f>VLOOKUP(A1966,'Data pick slip'!B:F,5,FALSE)</f>
        <v>KHJ-MC400-00</v>
      </c>
      <c r="F1966" s="157" t="s">
        <v>290</v>
      </c>
      <c r="H1966" s="138">
        <v>624</v>
      </c>
      <c r="I1966" s="139" t="e">
        <f>VLOOKUP(H1966,Stock_list!A:R,18,FALSE)</f>
        <v>#N/A</v>
      </c>
      <c r="J1966" s="139" t="e">
        <f>VLOOKUP(H1966,Stock_list!A:S,17,FALSE)</f>
        <v>#N/A</v>
      </c>
      <c r="K1966" s="51" t="e">
        <f>VLOOKUP(H1966,Stock_list!A:T,16,FALSE)</f>
        <v>#N/A</v>
      </c>
      <c r="L1966" s="4">
        <v>43994</v>
      </c>
      <c r="M1966" s="132">
        <v>10</v>
      </c>
      <c r="P1966" s="4" t="e">
        <f>VLOOKUP(H1966,Stock_list!A:Y,25,FALSE)</f>
        <v>#N/A</v>
      </c>
      <c r="Q1966" s="143"/>
      <c r="T1966" s="144"/>
      <c r="U1966" s="145" t="e">
        <f>VLOOKUP(H1966,Stock_list!A:N,14,FALSE)</f>
        <v>#N/A</v>
      </c>
    </row>
    <row r="1967" spans="1:21" ht="16.5" customHeight="1">
      <c r="A1967" s="159" t="s">
        <v>266</v>
      </c>
      <c r="B1967" s="114" t="str">
        <f>VLOOKUP(A1967,'Data pick slip'!B:F,5,FALSE)</f>
        <v>KHJ-MC500-00</v>
      </c>
      <c r="F1967" s="157" t="s">
        <v>290</v>
      </c>
      <c r="H1967" s="138">
        <v>624</v>
      </c>
      <c r="I1967" s="139" t="e">
        <f>VLOOKUP(H1967,Stock_list!A:R,18,FALSE)</f>
        <v>#N/A</v>
      </c>
      <c r="J1967" s="139" t="e">
        <f>VLOOKUP(H1967,Stock_list!A:S,17,FALSE)</f>
        <v>#N/A</v>
      </c>
      <c r="K1967" s="51" t="e">
        <f>VLOOKUP(H1967,Stock_list!A:T,16,FALSE)</f>
        <v>#N/A</v>
      </c>
      <c r="L1967" s="4">
        <v>43994</v>
      </c>
      <c r="M1967" s="132">
        <v>2</v>
      </c>
      <c r="P1967" s="4" t="e">
        <f>VLOOKUP(H1967,Stock_list!A:Y,25,FALSE)</f>
        <v>#N/A</v>
      </c>
      <c r="Q1967" s="143"/>
      <c r="T1967" s="144"/>
      <c r="U1967" s="145" t="e">
        <f>VLOOKUP(H1967,Stock_list!A:N,14,FALSE)</f>
        <v>#N/A</v>
      </c>
    </row>
    <row r="1968" spans="1:21" ht="16.5" customHeight="1">
      <c r="A1968" s="159" t="s">
        <v>267</v>
      </c>
      <c r="B1968" s="114" t="str">
        <f>VLOOKUP(A1968,'Data pick slip'!B:F,5,FALSE)</f>
        <v>KHJ-MC600-00</v>
      </c>
      <c r="F1968" s="157" t="s">
        <v>290</v>
      </c>
      <c r="H1968" s="138">
        <v>624</v>
      </c>
      <c r="I1968" s="139" t="e">
        <f>VLOOKUP(H1968,Stock_list!A:R,18,FALSE)</f>
        <v>#N/A</v>
      </c>
      <c r="J1968" s="139" t="e">
        <f>VLOOKUP(H1968,Stock_list!A:S,17,FALSE)</f>
        <v>#N/A</v>
      </c>
      <c r="K1968" s="51" t="e">
        <f>VLOOKUP(H1968,Stock_list!A:T,16,FALSE)</f>
        <v>#N/A</v>
      </c>
      <c r="L1968" s="4">
        <v>43994</v>
      </c>
      <c r="M1968" s="132">
        <v>2</v>
      </c>
      <c r="P1968" s="4" t="e">
        <f>VLOOKUP(H1968,Stock_list!A:Y,25,FALSE)</f>
        <v>#N/A</v>
      </c>
      <c r="Q1968" s="143"/>
      <c r="T1968" s="144"/>
      <c r="U1968" s="145" t="e">
        <f>VLOOKUP(H1968,Stock_list!A:N,14,FALSE)</f>
        <v>#N/A</v>
      </c>
    </row>
    <row r="1969" spans="1:21" ht="16.5" customHeight="1">
      <c r="A1969" s="159" t="s">
        <v>261</v>
      </c>
      <c r="B1969" s="114" t="str">
        <f>VLOOKUP(A1969,'Data pick slip'!B:F,5,FALSE)</f>
        <v>KHJ-MC100-00</v>
      </c>
      <c r="F1969" s="157" t="s">
        <v>290</v>
      </c>
      <c r="H1969" s="138">
        <v>627</v>
      </c>
      <c r="I1969" s="139" t="e">
        <f>VLOOKUP(H1969,Stock_list!A:R,18,FALSE)</f>
        <v>#N/A</v>
      </c>
      <c r="J1969" s="139" t="e">
        <f>VLOOKUP(H1969,Stock_list!A:S,17,FALSE)</f>
        <v>#N/A</v>
      </c>
      <c r="K1969" s="51" t="e">
        <f>VLOOKUP(H1969,Stock_list!A:T,16,FALSE)</f>
        <v>#N/A</v>
      </c>
      <c r="L1969" s="4">
        <v>43962</v>
      </c>
      <c r="M1969" s="132">
        <v>45</v>
      </c>
      <c r="P1969" s="4" t="e">
        <f>VLOOKUP(H1969,Stock_list!A:Y,25,FALSE)</f>
        <v>#N/A</v>
      </c>
      <c r="Q1969" s="143"/>
      <c r="T1969" s="144"/>
      <c r="U1969" s="145" t="e">
        <f>VLOOKUP(H1969,Stock_list!A:N,14,FALSE)</f>
        <v>#N/A</v>
      </c>
    </row>
    <row r="1970" spans="1:21" ht="16.5" customHeight="1">
      <c r="A1970" s="159" t="s">
        <v>273</v>
      </c>
      <c r="B1970" s="114" t="str">
        <f>VLOOKUP(A1970,'Data pick slip'!B:F,5,FALSE)</f>
        <v>KLJ-MC200-00</v>
      </c>
      <c r="F1970" s="157" t="s">
        <v>290</v>
      </c>
      <c r="H1970" s="138">
        <v>627</v>
      </c>
      <c r="I1970" s="139" t="e">
        <f>VLOOKUP(H1970,Stock_list!A:R,18,FALSE)</f>
        <v>#N/A</v>
      </c>
      <c r="J1970" s="139" t="e">
        <f>VLOOKUP(H1970,Stock_list!A:S,17,FALSE)</f>
        <v>#N/A</v>
      </c>
      <c r="K1970" s="51" t="e">
        <f>VLOOKUP(H1970,Stock_list!A:T,16,FALSE)</f>
        <v>#N/A</v>
      </c>
      <c r="L1970" s="4">
        <v>43962</v>
      </c>
      <c r="M1970" s="132">
        <v>18</v>
      </c>
      <c r="P1970" s="4" t="e">
        <f>VLOOKUP(H1970,Stock_list!A:Y,25,FALSE)</f>
        <v>#N/A</v>
      </c>
      <c r="T1970" s="144"/>
      <c r="U1970" s="145" t="e">
        <f>VLOOKUP(H1970,Stock_list!A:N,14,FALSE)</f>
        <v>#N/A</v>
      </c>
    </row>
    <row r="1971" spans="1:21" ht="16.5" customHeight="1">
      <c r="A1971" s="159" t="s">
        <v>274</v>
      </c>
      <c r="B1971" s="114" t="str">
        <f>VLOOKUP(A1971,'Data pick slip'!B:F,5,FALSE)</f>
        <v>KLJ-MC400-00</v>
      </c>
      <c r="F1971" s="157" t="s">
        <v>290</v>
      </c>
      <c r="H1971" s="138">
        <v>627</v>
      </c>
      <c r="I1971" s="139" t="e">
        <f>VLOOKUP(H1971,Stock_list!A:R,18,FALSE)</f>
        <v>#N/A</v>
      </c>
      <c r="J1971" s="139" t="e">
        <f>VLOOKUP(H1971,Stock_list!A:S,17,FALSE)</f>
        <v>#N/A</v>
      </c>
      <c r="K1971" s="51" t="e">
        <f>VLOOKUP(H1971,Stock_list!A:T,16,FALSE)</f>
        <v>#N/A</v>
      </c>
      <c r="L1971" s="4">
        <v>43962</v>
      </c>
      <c r="M1971" s="132">
        <v>8</v>
      </c>
      <c r="P1971" s="4" t="e">
        <f>VLOOKUP(H1971,Stock_list!A:Y,25,FALSE)</f>
        <v>#N/A</v>
      </c>
      <c r="Q1971" s="143"/>
      <c r="T1971" s="144"/>
      <c r="U1971" s="145" t="e">
        <f>VLOOKUP(H1971,Stock_list!A:N,14,FALSE)</f>
        <v>#N/A</v>
      </c>
    </row>
    <row r="1972" spans="1:21" ht="16.5" customHeight="1">
      <c r="A1972" s="159" t="s">
        <v>266</v>
      </c>
      <c r="B1972" s="114" t="str">
        <f>VLOOKUP(A1972,'Data pick slip'!B:F,5,FALSE)</f>
        <v>KHJ-MC500-00</v>
      </c>
      <c r="F1972" s="157" t="s">
        <v>290</v>
      </c>
      <c r="H1972" s="138">
        <v>627</v>
      </c>
      <c r="I1972" s="139" t="e">
        <f>VLOOKUP(H1972,Stock_list!A:R,18,FALSE)</f>
        <v>#N/A</v>
      </c>
      <c r="J1972" s="139" t="e">
        <f>VLOOKUP(H1972,Stock_list!A:S,17,FALSE)</f>
        <v>#N/A</v>
      </c>
      <c r="K1972" s="51" t="e">
        <f>VLOOKUP(H1972,Stock_list!A:T,16,FALSE)</f>
        <v>#N/A</v>
      </c>
      <c r="L1972" s="4">
        <v>43962</v>
      </c>
      <c r="M1972" s="132">
        <v>3</v>
      </c>
      <c r="P1972" s="4" t="e">
        <f>VLOOKUP(H1972,Stock_list!A:Y,25,FALSE)</f>
        <v>#N/A</v>
      </c>
      <c r="Q1972" s="143"/>
      <c r="T1972" s="144"/>
      <c r="U1972" s="145" t="e">
        <f>VLOOKUP(H1972,Stock_list!A:N,14,FALSE)</f>
        <v>#N/A</v>
      </c>
    </row>
    <row r="1973" spans="1:21" ht="16.5" customHeight="1">
      <c r="A1973" s="159" t="s">
        <v>267</v>
      </c>
      <c r="B1973" s="114" t="str">
        <f>VLOOKUP(A1973,'Data pick slip'!B:F,5,FALSE)</f>
        <v>KHJ-MC600-00</v>
      </c>
      <c r="F1973" s="157" t="s">
        <v>290</v>
      </c>
      <c r="H1973" s="138">
        <v>627</v>
      </c>
      <c r="I1973" s="139" t="e">
        <f>VLOOKUP(H1973,Stock_list!A:R,18,FALSE)</f>
        <v>#N/A</v>
      </c>
      <c r="J1973" s="139" t="e">
        <f>VLOOKUP(H1973,Stock_list!A:S,17,FALSE)</f>
        <v>#N/A</v>
      </c>
      <c r="K1973" s="51" t="e">
        <f>VLOOKUP(H1973,Stock_list!A:T,16,FALSE)</f>
        <v>#N/A</v>
      </c>
      <c r="L1973" s="4">
        <v>43962</v>
      </c>
      <c r="M1973" s="132">
        <v>2</v>
      </c>
      <c r="P1973" s="4" t="e">
        <f>VLOOKUP(H1973,Stock_list!A:Y,25,FALSE)</f>
        <v>#N/A</v>
      </c>
      <c r="Q1973" s="143"/>
      <c r="T1973" s="144"/>
      <c r="U1973" s="145" t="e">
        <f>VLOOKUP(H1973,Stock_list!A:N,14,FALSE)</f>
        <v>#N/A</v>
      </c>
    </row>
    <row r="1974" spans="1:21" ht="16.5" customHeight="1">
      <c r="A1974" s="159" t="s">
        <v>261</v>
      </c>
      <c r="B1974" s="114" t="str">
        <f>VLOOKUP(A1974,'Data pick slip'!B:F,5,FALSE)</f>
        <v>KHJ-MC100-00</v>
      </c>
      <c r="C1974" s="132"/>
      <c r="F1974" s="157" t="s">
        <v>290</v>
      </c>
      <c r="H1974" s="138">
        <v>632</v>
      </c>
      <c r="I1974" s="139" t="e">
        <f>VLOOKUP(H1974,Stock_list!A:R,18,FALSE)</f>
        <v>#N/A</v>
      </c>
      <c r="J1974" s="139" t="e">
        <f>VLOOKUP(H1974,Stock_list!A:S,17,FALSE)</f>
        <v>#N/A</v>
      </c>
      <c r="K1974" s="51" t="e">
        <f>VLOOKUP(H1974,Stock_list!A:T,16,FALSE)</f>
        <v>#N/A</v>
      </c>
      <c r="L1974" s="4">
        <v>43957</v>
      </c>
      <c r="M1974" s="140">
        <v>20</v>
      </c>
      <c r="P1974" s="4" t="e">
        <f>VLOOKUP(H1974,Stock_list!A:Y,25,FALSE)</f>
        <v>#N/A</v>
      </c>
      <c r="Q1974" s="143"/>
      <c r="T1974" s="144"/>
      <c r="U1974" s="145" t="e">
        <f>VLOOKUP(H1974,Stock_list!A:N,14,FALSE)</f>
        <v>#N/A</v>
      </c>
    </row>
    <row r="1975" spans="1:21" ht="16.5" customHeight="1">
      <c r="A1975" s="159" t="s">
        <v>273</v>
      </c>
      <c r="B1975" s="114" t="str">
        <f>VLOOKUP(A1975,'Data pick slip'!B:F,5,FALSE)</f>
        <v>KLJ-MC200-00</v>
      </c>
      <c r="C1975" s="132"/>
      <c r="F1975" s="157" t="s">
        <v>290</v>
      </c>
      <c r="H1975" s="138">
        <v>632</v>
      </c>
      <c r="I1975" s="139" t="e">
        <f>VLOOKUP(H1975,Stock_list!A:R,18,FALSE)</f>
        <v>#N/A</v>
      </c>
      <c r="J1975" s="139" t="e">
        <f>VLOOKUP(H1975,Stock_list!A:S,17,FALSE)</f>
        <v>#N/A</v>
      </c>
      <c r="K1975" s="51" t="e">
        <f>VLOOKUP(H1975,Stock_list!A:T,16,FALSE)</f>
        <v>#N/A</v>
      </c>
      <c r="L1975" s="4">
        <v>43957</v>
      </c>
      <c r="M1975" s="140">
        <v>15</v>
      </c>
      <c r="P1975" s="4" t="e">
        <f>VLOOKUP(H1975,Stock_list!A:Y,25,FALSE)</f>
        <v>#N/A</v>
      </c>
      <c r="T1975" s="144"/>
      <c r="U1975" s="145" t="e">
        <f>VLOOKUP(H1975,Stock_list!A:N,14,FALSE)</f>
        <v>#N/A</v>
      </c>
    </row>
    <row r="1976" spans="1:21" ht="16.5" customHeight="1">
      <c r="A1976" s="159" t="s">
        <v>274</v>
      </c>
      <c r="B1976" s="114" t="str">
        <f>VLOOKUP(A1976,'Data pick slip'!B:F,5,FALSE)</f>
        <v>KLJ-MC400-00</v>
      </c>
      <c r="C1976" s="132"/>
      <c r="F1976" s="157" t="s">
        <v>290</v>
      </c>
      <c r="H1976" s="138">
        <v>632</v>
      </c>
      <c r="I1976" s="139" t="e">
        <f>VLOOKUP(H1976,Stock_list!A:R,18,FALSE)</f>
        <v>#N/A</v>
      </c>
      <c r="J1976" s="139" t="e">
        <f>VLOOKUP(H1976,Stock_list!A:S,17,FALSE)</f>
        <v>#N/A</v>
      </c>
      <c r="K1976" s="51" t="e">
        <f>VLOOKUP(H1976,Stock_list!A:T,16,FALSE)</f>
        <v>#N/A</v>
      </c>
      <c r="L1976" s="4">
        <v>43957</v>
      </c>
      <c r="M1976" s="140">
        <v>2</v>
      </c>
      <c r="P1976" s="4" t="e">
        <f>VLOOKUP(H1976,Stock_list!A:Y,25,FALSE)</f>
        <v>#N/A</v>
      </c>
      <c r="Q1976" s="143"/>
      <c r="T1976" s="144"/>
      <c r="U1976" s="145" t="e">
        <f>VLOOKUP(H1976,Stock_list!A:N,14,FALSE)</f>
        <v>#N/A</v>
      </c>
    </row>
    <row r="1977" spans="1:21" ht="16.5" customHeight="1">
      <c r="A1977" s="159" t="s">
        <v>266</v>
      </c>
      <c r="B1977" s="114" t="str">
        <f>VLOOKUP(A1977,'Data pick slip'!B:F,5,FALSE)</f>
        <v>KHJ-MC500-00</v>
      </c>
      <c r="C1977" s="132"/>
      <c r="F1977" s="157" t="s">
        <v>290</v>
      </c>
      <c r="H1977" s="138">
        <v>632</v>
      </c>
      <c r="I1977" s="139" t="e">
        <f>VLOOKUP(H1977,Stock_list!A:R,18,FALSE)</f>
        <v>#N/A</v>
      </c>
      <c r="J1977" s="139" t="e">
        <f>VLOOKUP(H1977,Stock_list!A:S,17,FALSE)</f>
        <v>#N/A</v>
      </c>
      <c r="K1977" s="51" t="e">
        <f>VLOOKUP(H1977,Stock_list!A:T,16,FALSE)</f>
        <v>#N/A</v>
      </c>
      <c r="L1977" s="4">
        <v>43957</v>
      </c>
      <c r="M1977" s="140">
        <v>1</v>
      </c>
      <c r="P1977" s="4" t="e">
        <f>VLOOKUP(H1977,Stock_list!A:Y,25,FALSE)</f>
        <v>#N/A</v>
      </c>
      <c r="Q1977" s="143"/>
      <c r="T1977" s="144"/>
      <c r="U1977" s="145" t="e">
        <f>VLOOKUP(H1977,Stock_list!A:N,14,FALSE)</f>
        <v>#N/A</v>
      </c>
    </row>
    <row r="1978" spans="1:21" ht="16.5" customHeight="1">
      <c r="A1978" s="159" t="s">
        <v>276</v>
      </c>
      <c r="B1978" s="114" t="str">
        <f>VLOOKUP(A1978,'Data pick slip'!B:F,5,FALSE)</f>
        <v>KLJ-MC600-00</v>
      </c>
      <c r="C1978" s="132"/>
      <c r="F1978" s="157" t="s">
        <v>290</v>
      </c>
      <c r="H1978" s="138">
        <v>632</v>
      </c>
      <c r="I1978" s="139" t="e">
        <f>VLOOKUP(H1978,Stock_list!A:R,18,FALSE)</f>
        <v>#N/A</v>
      </c>
      <c r="J1978" s="139" t="e">
        <f>VLOOKUP(H1978,Stock_list!A:S,17,FALSE)</f>
        <v>#N/A</v>
      </c>
      <c r="K1978" s="51" t="e">
        <f>VLOOKUP(H1978,Stock_list!A:T,16,FALSE)</f>
        <v>#N/A</v>
      </c>
      <c r="L1978" s="4">
        <v>43957</v>
      </c>
      <c r="M1978" s="140">
        <v>1</v>
      </c>
      <c r="P1978" s="4" t="e">
        <f>VLOOKUP(H1978,Stock_list!A:Y,25,FALSE)</f>
        <v>#N/A</v>
      </c>
      <c r="Q1978" s="143"/>
      <c r="T1978" s="144"/>
      <c r="U1978" s="145" t="e">
        <f>VLOOKUP(H1978,Stock_list!A:N,14,FALSE)</f>
        <v>#N/A</v>
      </c>
    </row>
    <row r="1979" spans="1:21" ht="16.5" customHeight="1">
      <c r="A1979" s="159" t="s">
        <v>261</v>
      </c>
      <c r="B1979" s="114" t="str">
        <f>VLOOKUP(A1979,'Data pick slip'!B:F,5,FALSE)</f>
        <v>KHJ-MC100-00</v>
      </c>
      <c r="F1979" s="157" t="s">
        <v>379</v>
      </c>
      <c r="H1979" s="138">
        <v>633</v>
      </c>
      <c r="I1979" s="139" t="e">
        <f>VLOOKUP(H1979,Stock_list!A:R,18,FALSE)</f>
        <v>#N/A</v>
      </c>
      <c r="J1979" s="139" t="e">
        <f>VLOOKUP(H1979,Stock_list!A:S,17,FALSE)</f>
        <v>#N/A</v>
      </c>
      <c r="K1979" s="51" t="e">
        <f>VLOOKUP(H1979,Stock_list!A:T,16,FALSE)</f>
        <v>#N/A</v>
      </c>
      <c r="L1979" s="4">
        <v>43949</v>
      </c>
      <c r="M1979" s="132">
        <v>20</v>
      </c>
      <c r="P1979" s="4" t="e">
        <f>VLOOKUP(H1979,Stock_list!A:Y,25,FALSE)</f>
        <v>#N/A</v>
      </c>
      <c r="Q1979" s="143"/>
      <c r="T1979" s="144"/>
      <c r="U1979" s="145" t="e">
        <f>VLOOKUP(H1979,Stock_list!A:N,14,FALSE)</f>
        <v>#N/A</v>
      </c>
    </row>
    <row r="1980" spans="1:21" ht="16.5" customHeight="1">
      <c r="A1980" s="159" t="s">
        <v>265</v>
      </c>
      <c r="B1980" s="114" t="str">
        <f>VLOOKUP(A1980,'Data pick slip'!B:F,5,FALSE)</f>
        <v>KHJ-MC400-00</v>
      </c>
      <c r="F1980" s="157" t="s">
        <v>379</v>
      </c>
      <c r="H1980" s="138">
        <v>633</v>
      </c>
      <c r="I1980" s="139" t="e">
        <f>VLOOKUP(H1980,Stock_list!A:R,18,FALSE)</f>
        <v>#N/A</v>
      </c>
      <c r="J1980" s="139" t="e">
        <f>VLOOKUP(H1980,Stock_list!A:S,17,FALSE)</f>
        <v>#N/A</v>
      </c>
      <c r="K1980" s="51" t="e">
        <f>VLOOKUP(H1980,Stock_list!A:T,16,FALSE)</f>
        <v>#N/A</v>
      </c>
      <c r="L1980" s="4">
        <v>43949</v>
      </c>
      <c r="M1980" s="132">
        <v>2</v>
      </c>
      <c r="P1980" s="4" t="e">
        <f>VLOOKUP(H1980,Stock_list!A:Y,25,FALSE)</f>
        <v>#N/A</v>
      </c>
      <c r="Q1980" s="143"/>
      <c r="T1980" s="144"/>
      <c r="U1980" s="145" t="e">
        <f>VLOOKUP(H1980,Stock_list!A:N,14,FALSE)</f>
        <v>#N/A</v>
      </c>
    </row>
    <row r="1981" spans="1:21" ht="16.5" customHeight="1">
      <c r="A1981" s="159" t="s">
        <v>266</v>
      </c>
      <c r="B1981" s="114" t="str">
        <f>VLOOKUP(A1981,'Data pick slip'!B:F,5,FALSE)</f>
        <v>KHJ-MC500-00</v>
      </c>
      <c r="F1981" s="157" t="s">
        <v>379</v>
      </c>
      <c r="H1981" s="138">
        <v>633</v>
      </c>
      <c r="I1981" s="139" t="e">
        <f>VLOOKUP(H1981,Stock_list!A:R,18,FALSE)</f>
        <v>#N/A</v>
      </c>
      <c r="J1981" s="139" t="e">
        <f>VLOOKUP(H1981,Stock_list!A:S,17,FALSE)</f>
        <v>#N/A</v>
      </c>
      <c r="K1981" s="51" t="e">
        <f>VLOOKUP(H1981,Stock_list!A:T,16,FALSE)</f>
        <v>#N/A</v>
      </c>
      <c r="L1981" s="4">
        <v>43949</v>
      </c>
      <c r="M1981" s="132">
        <v>1</v>
      </c>
      <c r="P1981" s="4" t="e">
        <f>VLOOKUP(H1981,Stock_list!A:Y,25,FALSE)</f>
        <v>#N/A</v>
      </c>
      <c r="Q1981" s="143"/>
      <c r="T1981" s="144"/>
      <c r="U1981" s="145" t="e">
        <f>VLOOKUP(H1981,Stock_list!A:N,14,FALSE)</f>
        <v>#N/A</v>
      </c>
    </row>
    <row r="1982" spans="1:21" ht="16.5" customHeight="1">
      <c r="A1982" s="159" t="s">
        <v>261</v>
      </c>
      <c r="B1982" s="114" t="str">
        <f>VLOOKUP(A1982,'Data pick slip'!B:F,5,FALSE)</f>
        <v>KHJ-MC100-00</v>
      </c>
      <c r="F1982" s="157" t="s">
        <v>290</v>
      </c>
      <c r="H1982" s="138">
        <v>634</v>
      </c>
      <c r="I1982" s="139" t="e">
        <f>VLOOKUP(H1982,Stock_list!A:R,18,FALSE)</f>
        <v>#N/A</v>
      </c>
      <c r="J1982" s="139" t="e">
        <f>VLOOKUP(H1982,Stock_list!A:S,17,FALSE)</f>
        <v>#N/A</v>
      </c>
      <c r="K1982" s="51" t="e">
        <f>VLOOKUP(H1982,Stock_list!A:T,16,FALSE)</f>
        <v>#N/A</v>
      </c>
      <c r="L1982" s="4">
        <v>43965</v>
      </c>
      <c r="M1982" s="132">
        <v>10</v>
      </c>
      <c r="P1982" s="4" t="e">
        <f>VLOOKUP(H1982,Stock_list!A:Y,25,FALSE)</f>
        <v>#N/A</v>
      </c>
      <c r="Q1982" s="143"/>
      <c r="T1982" s="144"/>
      <c r="U1982" s="145" t="e">
        <f>VLOOKUP(H1982,Stock_list!A:N,14,FALSE)</f>
        <v>#N/A</v>
      </c>
    </row>
    <row r="1983" spans="1:21" ht="16.5" customHeight="1">
      <c r="A1983" s="159" t="s">
        <v>273</v>
      </c>
      <c r="B1983" s="114" t="str">
        <f>VLOOKUP(A1983,'Data pick slip'!B:F,5,FALSE)</f>
        <v>KLJ-MC200-00</v>
      </c>
      <c r="F1983" s="157" t="s">
        <v>290</v>
      </c>
      <c r="H1983" s="138">
        <v>634</v>
      </c>
      <c r="I1983" s="139" t="e">
        <f>VLOOKUP(H1983,Stock_list!A:R,18,FALSE)</f>
        <v>#N/A</v>
      </c>
      <c r="J1983" s="139" t="e">
        <f>VLOOKUP(H1983,Stock_list!A:S,17,FALSE)</f>
        <v>#N/A</v>
      </c>
      <c r="K1983" s="51" t="e">
        <f>VLOOKUP(H1983,Stock_list!A:T,16,FALSE)</f>
        <v>#N/A</v>
      </c>
      <c r="L1983" s="4">
        <v>43965</v>
      </c>
      <c r="M1983" s="132">
        <v>2</v>
      </c>
      <c r="P1983" s="4" t="e">
        <f>VLOOKUP(H1983,Stock_list!A:Y,25,FALSE)</f>
        <v>#N/A</v>
      </c>
      <c r="T1983" s="144"/>
      <c r="U1983" s="145" t="e">
        <f>VLOOKUP(H1983,Stock_list!A:N,14,FALSE)</f>
        <v>#N/A</v>
      </c>
    </row>
    <row r="1984" spans="1:21" ht="16.5" customHeight="1">
      <c r="A1984" s="159" t="s">
        <v>274</v>
      </c>
      <c r="B1984" s="114" t="str">
        <f>VLOOKUP(A1984,'Data pick slip'!B:F,5,FALSE)</f>
        <v>KLJ-MC400-00</v>
      </c>
      <c r="F1984" s="157" t="s">
        <v>290</v>
      </c>
      <c r="H1984" s="138">
        <v>634</v>
      </c>
      <c r="I1984" s="139" t="e">
        <f>VLOOKUP(H1984,Stock_list!A:R,18,FALSE)</f>
        <v>#N/A</v>
      </c>
      <c r="J1984" s="139" t="e">
        <f>VLOOKUP(H1984,Stock_list!A:S,17,FALSE)</f>
        <v>#N/A</v>
      </c>
      <c r="K1984" s="51" t="e">
        <f>VLOOKUP(H1984,Stock_list!A:T,16,FALSE)</f>
        <v>#N/A</v>
      </c>
      <c r="L1984" s="4">
        <v>43965</v>
      </c>
      <c r="M1984" s="132">
        <v>1</v>
      </c>
      <c r="P1984" s="4" t="e">
        <f>VLOOKUP(H1984,Stock_list!A:Y,25,FALSE)</f>
        <v>#N/A</v>
      </c>
      <c r="Q1984" s="143"/>
      <c r="T1984" s="144"/>
      <c r="U1984" s="145" t="e">
        <f>VLOOKUP(H1984,Stock_list!A:N,14,FALSE)</f>
        <v>#N/A</v>
      </c>
    </row>
    <row r="1985" spans="1:21" ht="16.5" customHeight="1">
      <c r="A1985" s="159" t="s">
        <v>261</v>
      </c>
      <c r="B1985" s="114" t="str">
        <f>VLOOKUP(A1985,'Data pick slip'!B:F,5,FALSE)</f>
        <v>KHJ-MC100-00</v>
      </c>
      <c r="F1985" s="157" t="s">
        <v>290</v>
      </c>
      <c r="H1985" s="138">
        <v>635</v>
      </c>
      <c r="I1985" s="139" t="e">
        <f>VLOOKUP(H1985,Stock_list!A:R,18,FALSE)</f>
        <v>#N/A</v>
      </c>
      <c r="J1985" s="139" t="e">
        <f>VLOOKUP(H1985,Stock_list!A:S,17,FALSE)</f>
        <v>#N/A</v>
      </c>
      <c r="K1985" s="51" t="e">
        <f>VLOOKUP(H1985,Stock_list!A:T,16,FALSE)</f>
        <v>#N/A</v>
      </c>
      <c r="L1985" s="4">
        <v>43965</v>
      </c>
      <c r="M1985" s="132">
        <v>80</v>
      </c>
      <c r="P1985" s="4" t="e">
        <f>VLOOKUP(H1985,Stock_list!A:Y,25,FALSE)</f>
        <v>#N/A</v>
      </c>
      <c r="Q1985" s="143"/>
      <c r="T1985" s="144"/>
      <c r="U1985" s="145" t="e">
        <f>VLOOKUP(H1985,Stock_list!A:N,14,FALSE)</f>
        <v>#N/A</v>
      </c>
    </row>
    <row r="1986" spans="1:21" ht="16.5" customHeight="1">
      <c r="A1986" s="159" t="s">
        <v>273</v>
      </c>
      <c r="B1986" s="114" t="str">
        <f>VLOOKUP(A1986,'Data pick slip'!B:F,5,FALSE)</f>
        <v>KLJ-MC200-00</v>
      </c>
      <c r="F1986" s="157" t="s">
        <v>290</v>
      </c>
      <c r="H1986" s="138">
        <v>635</v>
      </c>
      <c r="I1986" s="139" t="e">
        <f>VLOOKUP(H1986,Stock_list!A:R,18,FALSE)</f>
        <v>#N/A</v>
      </c>
      <c r="J1986" s="139" t="e">
        <f>VLOOKUP(H1986,Stock_list!A:S,17,FALSE)</f>
        <v>#N/A</v>
      </c>
      <c r="K1986" s="51" t="e">
        <f>VLOOKUP(H1986,Stock_list!A:T,16,FALSE)</f>
        <v>#N/A</v>
      </c>
      <c r="L1986" s="4">
        <v>43965</v>
      </c>
      <c r="M1986" s="132">
        <v>15</v>
      </c>
      <c r="P1986" s="4" t="e">
        <f>VLOOKUP(H1986,Stock_list!A:Y,25,FALSE)</f>
        <v>#N/A</v>
      </c>
      <c r="T1986" s="144"/>
      <c r="U1986" s="145" t="e">
        <f>VLOOKUP(H1986,Stock_list!A:N,14,FALSE)</f>
        <v>#N/A</v>
      </c>
    </row>
    <row r="1987" spans="1:21" ht="16.5" customHeight="1">
      <c r="A1987" s="159" t="s">
        <v>274</v>
      </c>
      <c r="B1987" s="114" t="str">
        <f>VLOOKUP(A1987,'Data pick slip'!B:F,5,FALSE)</f>
        <v>KLJ-MC400-00</v>
      </c>
      <c r="F1987" s="157" t="s">
        <v>290</v>
      </c>
      <c r="H1987" s="138">
        <v>635</v>
      </c>
      <c r="I1987" s="139" t="e">
        <f>VLOOKUP(H1987,Stock_list!A:R,18,FALSE)</f>
        <v>#N/A</v>
      </c>
      <c r="J1987" s="139" t="e">
        <f>VLOOKUP(H1987,Stock_list!A:S,17,FALSE)</f>
        <v>#N/A</v>
      </c>
      <c r="K1987" s="51" t="e">
        <f>VLOOKUP(H1987,Stock_list!A:T,16,FALSE)</f>
        <v>#N/A</v>
      </c>
      <c r="L1987" s="4">
        <v>43965</v>
      </c>
      <c r="M1987" s="132">
        <v>3</v>
      </c>
      <c r="P1987" s="4" t="e">
        <f>VLOOKUP(H1987,Stock_list!A:Y,25,FALSE)</f>
        <v>#N/A</v>
      </c>
      <c r="Q1987" s="143"/>
      <c r="T1987" s="144"/>
      <c r="U1987" s="145" t="e">
        <f>VLOOKUP(H1987,Stock_list!A:N,14,FALSE)</f>
        <v>#N/A</v>
      </c>
    </row>
    <row r="1988" spans="1:21" ht="16.5" customHeight="1">
      <c r="A1988" s="159" t="s">
        <v>266</v>
      </c>
      <c r="B1988" s="114" t="str">
        <f>VLOOKUP(A1988,'Data pick slip'!B:F,5,FALSE)</f>
        <v>KHJ-MC500-00</v>
      </c>
      <c r="F1988" s="157" t="s">
        <v>290</v>
      </c>
      <c r="H1988" s="138">
        <v>635</v>
      </c>
      <c r="I1988" s="139" t="e">
        <f>VLOOKUP(H1988,Stock_list!A:R,18,FALSE)</f>
        <v>#N/A</v>
      </c>
      <c r="J1988" s="139" t="e">
        <f>VLOOKUP(H1988,Stock_list!A:S,17,FALSE)</f>
        <v>#N/A</v>
      </c>
      <c r="K1988" s="51" t="e">
        <f>VLOOKUP(H1988,Stock_list!A:T,16,FALSE)</f>
        <v>#N/A</v>
      </c>
      <c r="L1988" s="4">
        <v>43965</v>
      </c>
      <c r="M1988" s="132">
        <v>1</v>
      </c>
      <c r="P1988" s="4" t="e">
        <f>VLOOKUP(H1988,Stock_list!A:Y,25,FALSE)</f>
        <v>#N/A</v>
      </c>
      <c r="Q1988" s="143"/>
      <c r="T1988" s="144"/>
      <c r="U1988" s="145" t="e">
        <f>VLOOKUP(H1988,Stock_list!A:N,14,FALSE)</f>
        <v>#N/A</v>
      </c>
    </row>
    <row r="1989" spans="1:21" ht="16.5" customHeight="1">
      <c r="A1989" s="159" t="s">
        <v>261</v>
      </c>
      <c r="B1989" s="114" t="str">
        <f>VLOOKUP(A1989,'Data pick slip'!B:F,5,FALSE)</f>
        <v>KHJ-MC100-00</v>
      </c>
      <c r="F1989" s="157" t="s">
        <v>379</v>
      </c>
      <c r="I1989" s="139" t="s">
        <v>533</v>
      </c>
      <c r="J1989" s="139" t="s">
        <v>785</v>
      </c>
      <c r="K1989" s="51" t="s">
        <v>225</v>
      </c>
      <c r="L1989" s="4">
        <v>43941</v>
      </c>
      <c r="M1989" s="140">
        <v>80</v>
      </c>
      <c r="P1989" s="4" t="s">
        <v>214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261</v>
      </c>
      <c r="B1990" s="114" t="str">
        <f>VLOOKUP(A1990,'Data pick slip'!B:F,5,FALSE)</f>
        <v>KHJ-MC100-00</v>
      </c>
      <c r="F1990" s="157" t="s">
        <v>379</v>
      </c>
      <c r="I1990" s="139" t="s">
        <v>533</v>
      </c>
      <c r="J1990" s="139" t="s">
        <v>785</v>
      </c>
      <c r="K1990" s="51" t="s">
        <v>225</v>
      </c>
      <c r="L1990" s="4">
        <v>43941</v>
      </c>
      <c r="M1990" s="140">
        <v>120</v>
      </c>
      <c r="P1990" s="4" t="s">
        <v>214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264</v>
      </c>
      <c r="B1991" s="114" t="str">
        <f>VLOOKUP(A1991,'Data pick slip'!B:F,5,FALSE)</f>
        <v>KHJ-MC200-00</v>
      </c>
      <c r="F1991" s="157" t="s">
        <v>379</v>
      </c>
      <c r="I1991" s="139" t="s">
        <v>533</v>
      </c>
      <c r="J1991" s="139" t="s">
        <v>785</v>
      </c>
      <c r="K1991" s="51" t="s">
        <v>225</v>
      </c>
      <c r="L1991" s="4">
        <v>43941</v>
      </c>
      <c r="M1991" s="140">
        <v>25</v>
      </c>
      <c r="P1991" s="4" t="s">
        <v>214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265</v>
      </c>
      <c r="B1992" s="114" t="str">
        <f>VLOOKUP(A1992,'Data pick slip'!B:F,5,FALSE)</f>
        <v>KHJ-MC400-00</v>
      </c>
      <c r="F1992" s="157" t="s">
        <v>379</v>
      </c>
      <c r="I1992" s="139" t="s">
        <v>533</v>
      </c>
      <c r="J1992" s="139" t="s">
        <v>785</v>
      </c>
      <c r="K1992" s="51" t="s">
        <v>225</v>
      </c>
      <c r="L1992" s="4">
        <v>43941</v>
      </c>
      <c r="M1992" s="140">
        <v>2</v>
      </c>
      <c r="P1992" s="4" t="s">
        <v>214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266</v>
      </c>
      <c r="B1993" s="114" t="str">
        <f>VLOOKUP(A1993,'Data pick slip'!B:F,5,FALSE)</f>
        <v>KHJ-MC500-00</v>
      </c>
      <c r="F1993" s="157" t="s">
        <v>379</v>
      </c>
      <c r="I1993" s="139" t="s">
        <v>533</v>
      </c>
      <c r="J1993" s="139" t="s">
        <v>785</v>
      </c>
      <c r="K1993" s="51" t="s">
        <v>225</v>
      </c>
      <c r="L1993" s="4">
        <v>43941</v>
      </c>
      <c r="M1993" s="140">
        <v>15</v>
      </c>
      <c r="P1993" s="4" t="s">
        <v>214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267</v>
      </c>
      <c r="B1994" s="114" t="str">
        <f>VLOOKUP(A1994,'Data pick slip'!B:F,5,FALSE)</f>
        <v>KHJ-MC600-00</v>
      </c>
      <c r="F1994" s="157" t="s">
        <v>379</v>
      </c>
      <c r="I1994" s="139" t="s">
        <v>533</v>
      </c>
      <c r="J1994" s="139" t="s">
        <v>785</v>
      </c>
      <c r="K1994" s="51" t="s">
        <v>225</v>
      </c>
      <c r="L1994" s="4">
        <v>43941</v>
      </c>
      <c r="M1994" s="140">
        <v>5</v>
      </c>
      <c r="P1994" s="4" t="s">
        <v>214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261</v>
      </c>
      <c r="B1995" s="114" t="str">
        <f>VLOOKUP(A1995,'Data pick slip'!B:F,5,FALSE)</f>
        <v>KHJ-MC100-00</v>
      </c>
      <c r="F1995" s="157" t="s">
        <v>379</v>
      </c>
      <c r="H1995" s="138">
        <v>637</v>
      </c>
      <c r="I1995" s="139" t="e">
        <f>VLOOKUP(H1995,Stock_list!A:R,18,FALSE)</f>
        <v>#N/A</v>
      </c>
      <c r="J1995" s="139" t="e">
        <f>VLOOKUP(H1995,Stock_list!A:S,17,FALSE)</f>
        <v>#N/A</v>
      </c>
      <c r="K1995" s="51" t="e">
        <f>VLOOKUP(H1995,Stock_list!A:T,16,FALSE)</f>
        <v>#N/A</v>
      </c>
      <c r="L1995" s="4">
        <v>43984</v>
      </c>
      <c r="M1995" s="132">
        <v>10</v>
      </c>
      <c r="P1995" s="4" t="s">
        <v>214</v>
      </c>
      <c r="Q1995" s="143"/>
      <c r="T1995" s="144"/>
      <c r="U1995" s="145" t="e">
        <f>VLOOKUP(H1995,Stock_list!A:N,14,FALSE)</f>
        <v>#N/A</v>
      </c>
    </row>
    <row r="1996" spans="1:21" ht="16.5" customHeight="1">
      <c r="A1996" s="159" t="s">
        <v>261</v>
      </c>
      <c r="B1996" s="114" t="str">
        <f>VLOOKUP(A1996,'Data pick slip'!B:F,5,FALSE)</f>
        <v>KHJ-MC100-00</v>
      </c>
      <c r="F1996" s="157" t="s">
        <v>290</v>
      </c>
      <c r="I1996" s="139" t="s">
        <v>617</v>
      </c>
      <c r="J1996" s="139" t="s">
        <v>786</v>
      </c>
      <c r="K1996" s="51" t="s">
        <v>225</v>
      </c>
      <c r="L1996" s="4">
        <v>43949</v>
      </c>
      <c r="M1996" s="140">
        <v>20</v>
      </c>
      <c r="P1996" s="4" t="s">
        <v>214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266</v>
      </c>
      <c r="B1997" s="114" t="str">
        <f>VLOOKUP(A1997,'Data pick slip'!B:F,5,FALSE)</f>
        <v>KHJ-MC500-00</v>
      </c>
      <c r="F1997" s="157" t="s">
        <v>290</v>
      </c>
      <c r="I1997" s="139" t="s">
        <v>617</v>
      </c>
      <c r="J1997" s="139" t="s">
        <v>787</v>
      </c>
      <c r="K1997" s="51" t="s">
        <v>225</v>
      </c>
      <c r="L1997" s="4">
        <v>43949</v>
      </c>
      <c r="M1997" s="140">
        <v>1</v>
      </c>
      <c r="P1997" s="4" t="s">
        <v>214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264</v>
      </c>
      <c r="B1998" s="114" t="str">
        <f>VLOOKUP(A1998,'Data pick slip'!B:F,5,FALSE)</f>
        <v>KHJ-MC200-00</v>
      </c>
      <c r="F1998" s="157" t="s">
        <v>290</v>
      </c>
      <c r="I1998" s="139" t="s">
        <v>617</v>
      </c>
      <c r="J1998" s="139" t="s">
        <v>787</v>
      </c>
      <c r="K1998" s="51" t="s">
        <v>225</v>
      </c>
      <c r="L1998" s="4">
        <v>43949</v>
      </c>
      <c r="M1998" s="140">
        <v>10</v>
      </c>
      <c r="P1998" s="4" t="s">
        <v>214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261</v>
      </c>
      <c r="B1999" s="114" t="str">
        <f>VLOOKUP(A1999,'Data pick slip'!B:F,5,FALSE)</f>
        <v>KHJ-MC100-00</v>
      </c>
      <c r="F1999" s="157" t="s">
        <v>379</v>
      </c>
      <c r="I1999" s="139" t="s">
        <v>533</v>
      </c>
      <c r="J1999" s="139" t="s">
        <v>788</v>
      </c>
      <c r="K1999" s="51" t="s">
        <v>225</v>
      </c>
      <c r="L1999" s="4">
        <v>43949</v>
      </c>
      <c r="M1999" s="140">
        <v>100</v>
      </c>
      <c r="P1999" s="4" t="s">
        <v>214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261</v>
      </c>
      <c r="B2000" s="114" t="str">
        <f>VLOOKUP(A2000,'Data pick slip'!B:F,5,FALSE)</f>
        <v>KHJ-MC100-00</v>
      </c>
      <c r="F2000" s="157" t="s">
        <v>290</v>
      </c>
      <c r="I2000" s="139" t="s">
        <v>617</v>
      </c>
      <c r="J2000" s="139" t="s">
        <v>789</v>
      </c>
      <c r="K2000" s="51" t="s">
        <v>225</v>
      </c>
      <c r="L2000" s="4">
        <v>43945</v>
      </c>
      <c r="M2000" s="140">
        <v>8</v>
      </c>
      <c r="P2000" s="4" t="s">
        <v>214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264</v>
      </c>
      <c r="B2001" s="114" t="str">
        <f>VLOOKUP(A2001,'Data pick slip'!B:F,5,FALSE)</f>
        <v>KHJ-MC200-00</v>
      </c>
      <c r="F2001" s="157" t="s">
        <v>290</v>
      </c>
      <c r="I2001" s="139" t="s">
        <v>617</v>
      </c>
      <c r="J2001" s="139" t="s">
        <v>789</v>
      </c>
      <c r="K2001" s="51" t="s">
        <v>225</v>
      </c>
      <c r="L2001" s="4">
        <v>43945</v>
      </c>
      <c r="M2001" s="140">
        <v>5</v>
      </c>
      <c r="P2001" s="4" t="s">
        <v>214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261</v>
      </c>
      <c r="B2002" s="114" t="str">
        <f>VLOOKUP(A2002,'Data pick slip'!B:F,5,FALSE)</f>
        <v>KHJ-MC100-00</v>
      </c>
      <c r="F2002" s="157" t="s">
        <v>290</v>
      </c>
      <c r="H2002" s="138">
        <v>638</v>
      </c>
      <c r="I2002" s="139" t="e">
        <f>VLOOKUP(H2002,Stock_list!A:R,18,FALSE)</f>
        <v>#N/A</v>
      </c>
      <c r="J2002" s="139" t="e">
        <f>VLOOKUP(H2002,Stock_list!A:S,17,FALSE)</f>
        <v>#N/A</v>
      </c>
      <c r="K2002" s="51" t="e">
        <f>VLOOKUP(H2002,Stock_list!A:T,16,FALSE)</f>
        <v>#N/A</v>
      </c>
      <c r="L2002" s="4">
        <v>43979</v>
      </c>
      <c r="M2002" s="132">
        <v>30</v>
      </c>
      <c r="P2002" s="4" t="e">
        <f>VLOOKUP(H2002,Stock_list!A:Y,25,FALSE)</f>
        <v>#N/A</v>
      </c>
      <c r="Q2002" s="143"/>
      <c r="T2002" s="144"/>
      <c r="U2002" s="145" t="e">
        <f>VLOOKUP(H2002,Stock_list!A:N,14,FALSE)</f>
        <v>#N/A</v>
      </c>
    </row>
    <row r="2003" spans="1:21" ht="16.5" customHeight="1">
      <c r="A2003" s="159" t="s">
        <v>273</v>
      </c>
      <c r="B2003" s="114" t="str">
        <f>VLOOKUP(A2003,'Data pick slip'!B:F,5,FALSE)</f>
        <v>KLJ-MC200-00</v>
      </c>
      <c r="F2003" s="157" t="s">
        <v>290</v>
      </c>
      <c r="H2003" s="138">
        <v>638</v>
      </c>
      <c r="I2003" s="139" t="e">
        <f>VLOOKUP(H2003,Stock_list!A:R,18,FALSE)</f>
        <v>#N/A</v>
      </c>
      <c r="J2003" s="139" t="e">
        <f>VLOOKUP(H2003,Stock_list!A:S,17,FALSE)</f>
        <v>#N/A</v>
      </c>
      <c r="K2003" s="51" t="e">
        <f>VLOOKUP(H2003,Stock_list!A:T,16,FALSE)</f>
        <v>#N/A</v>
      </c>
      <c r="L2003" s="4">
        <v>43979</v>
      </c>
      <c r="M2003" s="132">
        <v>3</v>
      </c>
      <c r="P2003" s="4" t="e">
        <f>VLOOKUP(H2003,Stock_list!A:Y,25,FALSE)</f>
        <v>#N/A</v>
      </c>
      <c r="T2003" s="144"/>
      <c r="U2003" s="145" t="e">
        <f>VLOOKUP(H2003,Stock_list!A:N,14,FALSE)</f>
        <v>#N/A</v>
      </c>
    </row>
    <row r="2004" spans="1:21" ht="16.5" customHeight="1">
      <c r="A2004" s="159" t="s">
        <v>261</v>
      </c>
      <c r="B2004" s="114" t="str">
        <f>VLOOKUP(A2004,'Data pick slip'!B:F,5,FALSE)</f>
        <v>KHJ-MC100-00</v>
      </c>
      <c r="F2004" s="157" t="s">
        <v>379</v>
      </c>
      <c r="H2004" s="138">
        <v>639</v>
      </c>
      <c r="I2004" s="139" t="e">
        <f>VLOOKUP(H2004,Stock_list!A:R,18,FALSE)</f>
        <v>#N/A</v>
      </c>
      <c r="J2004" s="139" t="e">
        <f>VLOOKUP(H2004,Stock_list!A:S,17,FALSE)</f>
        <v>#N/A</v>
      </c>
      <c r="K2004" s="51" t="e">
        <f>VLOOKUP(H2004,Stock_list!A:T,16,FALSE)</f>
        <v>#N/A</v>
      </c>
      <c r="L2004" s="4">
        <v>43980</v>
      </c>
      <c r="M2004" s="132">
        <v>110</v>
      </c>
      <c r="P2004" s="4" t="e">
        <f>VLOOKUP(H2004,Stock_list!A:Y,25,FALSE)</f>
        <v>#N/A</v>
      </c>
      <c r="Q2004" s="143"/>
      <c r="T2004" s="144"/>
      <c r="U2004" s="145" t="e">
        <f>VLOOKUP(H2004,Stock_list!A:N,14,FALSE)</f>
        <v>#N/A</v>
      </c>
    </row>
    <row r="2005" spans="1:21" ht="16.5" customHeight="1">
      <c r="A2005" s="159" t="s">
        <v>264</v>
      </c>
      <c r="B2005" s="114" t="str">
        <f>VLOOKUP(A2005,'Data pick slip'!B:F,5,FALSE)</f>
        <v>KHJ-MC200-00</v>
      </c>
      <c r="F2005" s="157" t="s">
        <v>290</v>
      </c>
      <c r="H2005" s="138">
        <v>639</v>
      </c>
      <c r="I2005" s="139" t="e">
        <f>VLOOKUP(H2005,Stock_list!A:R,18,FALSE)</f>
        <v>#N/A</v>
      </c>
      <c r="J2005" s="139" t="e">
        <f>VLOOKUP(H2005,Stock_list!A:S,17,FALSE)</f>
        <v>#N/A</v>
      </c>
      <c r="K2005" s="51" t="e">
        <f>VLOOKUP(H2005,Stock_list!A:T,16,FALSE)</f>
        <v>#N/A</v>
      </c>
      <c r="L2005" s="4">
        <v>43980</v>
      </c>
      <c r="M2005" s="132">
        <v>20</v>
      </c>
      <c r="P2005" s="4" t="e">
        <f>VLOOKUP(H2005,Stock_list!A:Y,25,FALSE)</f>
        <v>#N/A</v>
      </c>
      <c r="Q2005" s="143"/>
      <c r="S2005" s="123" t="s">
        <v>521</v>
      </c>
      <c r="T2005" s="205" t="s">
        <v>790</v>
      </c>
      <c r="U2005" s="145" t="e">
        <f>VLOOKUP(H2005,Stock_list!A:N,14,FALSE)</f>
        <v>#N/A</v>
      </c>
    </row>
    <row r="2006" spans="1:21" ht="16.5" customHeight="1">
      <c r="A2006" s="159" t="s">
        <v>265</v>
      </c>
      <c r="B2006" s="114" t="str">
        <f>VLOOKUP(A2006,'Data pick slip'!B:F,5,FALSE)</f>
        <v>KHJ-MC400-00</v>
      </c>
      <c r="F2006" s="157" t="s">
        <v>290</v>
      </c>
      <c r="H2006" s="138">
        <v>639</v>
      </c>
      <c r="I2006" s="139" t="e">
        <f>VLOOKUP(H2006,Stock_list!A:R,18,FALSE)</f>
        <v>#N/A</v>
      </c>
      <c r="J2006" s="139" t="e">
        <f>VLOOKUP(H2006,Stock_list!A:S,17,FALSE)</f>
        <v>#N/A</v>
      </c>
      <c r="K2006" s="51" t="e">
        <f>VLOOKUP(H2006,Stock_list!A:T,16,FALSE)</f>
        <v>#N/A</v>
      </c>
      <c r="L2006" s="4">
        <v>43980</v>
      </c>
      <c r="M2006" s="132">
        <v>2</v>
      </c>
      <c r="P2006" s="4" t="e">
        <f>VLOOKUP(H2006,Stock_list!A:Y,25,FALSE)</f>
        <v>#N/A</v>
      </c>
      <c r="Q2006" s="143"/>
      <c r="S2006" s="123" t="s">
        <v>521</v>
      </c>
      <c r="T2006" s="205" t="s">
        <v>791</v>
      </c>
      <c r="U2006" s="145" t="e">
        <f>VLOOKUP(H2006,Stock_list!A:N,14,FALSE)</f>
        <v>#N/A</v>
      </c>
    </row>
    <row r="2007" spans="1:21" ht="16.5" customHeight="1">
      <c r="A2007" s="159" t="s">
        <v>273</v>
      </c>
      <c r="B2007" s="114" t="str">
        <f>VLOOKUP(A2007,'Data pick slip'!B:F,5,FALSE)</f>
        <v>KLJ-MC200-00</v>
      </c>
      <c r="F2007" s="157" t="s">
        <v>290</v>
      </c>
      <c r="I2007" s="139" t="s">
        <v>617</v>
      </c>
      <c r="J2007" s="139" t="s">
        <v>792</v>
      </c>
      <c r="K2007" s="51" t="s">
        <v>225</v>
      </c>
      <c r="L2007" s="4">
        <v>43951</v>
      </c>
      <c r="M2007" s="140">
        <v>3</v>
      </c>
      <c r="P2007" s="4" t="s">
        <v>214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274</v>
      </c>
      <c r="B2008" s="114" t="str">
        <f>VLOOKUP(A2008,'Data pick slip'!B:F,5,FALSE)</f>
        <v>KLJ-MC400-00</v>
      </c>
      <c r="F2008" s="157" t="s">
        <v>379</v>
      </c>
      <c r="H2008" s="138">
        <v>641</v>
      </c>
      <c r="I2008" s="139" t="e">
        <f>VLOOKUP(H2008,Stock_list!A:R,18,FALSE)</f>
        <v>#N/A</v>
      </c>
      <c r="J2008" s="139" t="e">
        <f>VLOOKUP(H2008,Stock_list!A:S,17,FALSE)</f>
        <v>#N/A</v>
      </c>
      <c r="K2008" s="51" t="e">
        <f>VLOOKUP(H2008,Stock_list!A:T,16,FALSE)</f>
        <v>#N/A</v>
      </c>
      <c r="L2008" s="4">
        <v>43965</v>
      </c>
      <c r="M2008" s="132">
        <v>5</v>
      </c>
      <c r="P2008" s="4" t="e">
        <f>VLOOKUP(H2008,Stock_list!A:Y,25,FALSE)</f>
        <v>#N/A</v>
      </c>
      <c r="Q2008" s="146"/>
      <c r="T2008" s="144"/>
      <c r="U2008" s="145" t="e">
        <f>VLOOKUP(H2008,Stock_list!A:N,14,FALSE)</f>
        <v>#N/A</v>
      </c>
    </row>
    <row r="2009" spans="1:21" ht="16.5" customHeight="1">
      <c r="A2009" s="159" t="s">
        <v>261</v>
      </c>
      <c r="B2009" s="114" t="str">
        <f>VLOOKUP(A2009,'Data pick slip'!B:F,5,FALSE)</f>
        <v>KHJ-MC100-00</v>
      </c>
      <c r="F2009" s="157" t="s">
        <v>379</v>
      </c>
      <c r="I2009" s="139" t="s">
        <v>533</v>
      </c>
      <c r="J2009" s="139" t="s">
        <v>793</v>
      </c>
      <c r="K2009" s="51" t="s">
        <v>225</v>
      </c>
      <c r="L2009" s="4">
        <v>43959</v>
      </c>
      <c r="M2009" s="140">
        <v>155</v>
      </c>
      <c r="P2009" s="4" t="s">
        <v>214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266</v>
      </c>
      <c r="B2010" s="114" t="str">
        <f>VLOOKUP(A2010,'Data pick slip'!B:F,5,FALSE)</f>
        <v>KHJ-MC500-00</v>
      </c>
      <c r="F2010" s="157" t="s">
        <v>379</v>
      </c>
      <c r="I2010" s="139" t="s">
        <v>533</v>
      </c>
      <c r="J2010" s="139" t="s">
        <v>793</v>
      </c>
      <c r="K2010" s="51" t="s">
        <v>225</v>
      </c>
      <c r="L2010" s="4">
        <v>43959</v>
      </c>
      <c r="M2010" s="140">
        <v>4</v>
      </c>
      <c r="P2010" s="4" t="s">
        <v>214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267</v>
      </c>
      <c r="B2011" s="114" t="str">
        <f>VLOOKUP(A2011,'Data pick slip'!B:F,5,FALSE)</f>
        <v>KHJ-MC600-00</v>
      </c>
      <c r="F2011" s="157" t="s">
        <v>379</v>
      </c>
      <c r="I2011" s="139" t="s">
        <v>533</v>
      </c>
      <c r="J2011" s="139" t="s">
        <v>793</v>
      </c>
      <c r="K2011" s="51" t="s">
        <v>225</v>
      </c>
      <c r="L2011" s="4">
        <v>43959</v>
      </c>
      <c r="M2011" s="140">
        <v>2</v>
      </c>
      <c r="P2011" s="4" t="s">
        <v>214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264</v>
      </c>
      <c r="B2012" s="114" t="str">
        <f>VLOOKUP(A2012,'Data pick slip'!B:F,5,FALSE)</f>
        <v>KHJ-MC200-00</v>
      </c>
      <c r="F2012" s="157" t="s">
        <v>379</v>
      </c>
      <c r="I2012" s="139" t="s">
        <v>533</v>
      </c>
      <c r="J2012" s="139" t="s">
        <v>794</v>
      </c>
      <c r="K2012" s="51" t="s">
        <v>225</v>
      </c>
      <c r="L2012" s="4">
        <v>43962</v>
      </c>
      <c r="M2012" s="140">
        <v>28</v>
      </c>
      <c r="P2012" s="4" t="s">
        <v>214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273</v>
      </c>
      <c r="B2013" s="114" t="str">
        <f>VLOOKUP(A2013,'Data pick slip'!B:F,5,FALSE)</f>
        <v>KLJ-MC200-00</v>
      </c>
      <c r="F2013" s="157" t="s">
        <v>379</v>
      </c>
      <c r="I2013" s="139" t="s">
        <v>533</v>
      </c>
      <c r="J2013" s="139" t="s">
        <v>794</v>
      </c>
      <c r="K2013" s="51" t="s">
        <v>225</v>
      </c>
      <c r="L2013" s="4">
        <v>43962</v>
      </c>
      <c r="M2013" s="140">
        <v>80</v>
      </c>
      <c r="P2013" s="4" t="s">
        <v>214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265</v>
      </c>
      <c r="B2014" s="114" t="str">
        <f>VLOOKUP(A2014,'Data pick slip'!B:F,5,FALSE)</f>
        <v>KHJ-MC400-00</v>
      </c>
      <c r="F2014" s="157" t="s">
        <v>379</v>
      </c>
      <c r="I2014" s="139" t="s">
        <v>533</v>
      </c>
      <c r="J2014" s="139" t="s">
        <v>794</v>
      </c>
      <c r="K2014" s="51" t="s">
        <v>225</v>
      </c>
      <c r="L2014" s="4">
        <v>43962</v>
      </c>
      <c r="M2014" s="140">
        <v>7</v>
      </c>
      <c r="P2014" s="4" t="s">
        <v>214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267</v>
      </c>
      <c r="B2015" s="114" t="str">
        <f>VLOOKUP(A2015,'Data pick slip'!B:F,5,FALSE)</f>
        <v>KHJ-MC600-00</v>
      </c>
      <c r="F2015" s="157" t="s">
        <v>379</v>
      </c>
      <c r="I2015" s="139" t="s">
        <v>533</v>
      </c>
      <c r="J2015" s="139" t="s">
        <v>794</v>
      </c>
      <c r="K2015" s="51" t="s">
        <v>225</v>
      </c>
      <c r="L2015" s="4">
        <v>43962</v>
      </c>
      <c r="M2015" s="140">
        <v>5</v>
      </c>
      <c r="P2015" s="4" t="s">
        <v>214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261</v>
      </c>
      <c r="B2016" s="114" t="str">
        <f>VLOOKUP(A2016,'Data pick slip'!B:F,5,FALSE)</f>
        <v>KHJ-MC100-00</v>
      </c>
      <c r="F2016" s="157" t="s">
        <v>290</v>
      </c>
      <c r="H2016" s="138">
        <v>642</v>
      </c>
      <c r="I2016" s="139" t="e">
        <f>VLOOKUP(H2016,Stock_list!A:R,18,FALSE)</f>
        <v>#N/A</v>
      </c>
      <c r="J2016" s="139" t="e">
        <f>VLOOKUP(H2016,Stock_list!A:S,17,FALSE)</f>
        <v>#N/A</v>
      </c>
      <c r="K2016" s="51" t="e">
        <f>VLOOKUP(H2016,Stock_list!A:T,16,FALSE)</f>
        <v>#N/A</v>
      </c>
      <c r="L2016" s="4">
        <v>43970</v>
      </c>
      <c r="M2016" s="132">
        <v>45</v>
      </c>
      <c r="P2016" s="4" t="e">
        <f>VLOOKUP(H2016,Stock_list!A:Y,25,FALSE)</f>
        <v>#N/A</v>
      </c>
      <c r="Q2016" s="143"/>
      <c r="T2016" s="144"/>
      <c r="U2016" s="145" t="e">
        <f>VLOOKUP(H2016,Stock_list!A:N,14,FALSE)</f>
        <v>#N/A</v>
      </c>
    </row>
    <row r="2017" spans="1:21" ht="16.5" customHeight="1">
      <c r="A2017" s="159" t="s">
        <v>273</v>
      </c>
      <c r="B2017" s="114" t="str">
        <f>VLOOKUP(A2017,'Data pick slip'!B:F,5,FALSE)</f>
        <v>KLJ-MC200-00</v>
      </c>
      <c r="F2017" s="157" t="s">
        <v>290</v>
      </c>
      <c r="H2017" s="138">
        <v>642</v>
      </c>
      <c r="I2017" s="139" t="e">
        <f>VLOOKUP(H2017,Stock_list!A:R,18,FALSE)</f>
        <v>#N/A</v>
      </c>
      <c r="J2017" s="139" t="e">
        <f>VLOOKUP(H2017,Stock_list!A:S,17,FALSE)</f>
        <v>#N/A</v>
      </c>
      <c r="K2017" s="51" t="e">
        <f>VLOOKUP(H2017,Stock_list!A:T,16,FALSE)</f>
        <v>#N/A</v>
      </c>
      <c r="L2017" s="4">
        <v>43970</v>
      </c>
      <c r="M2017" s="132">
        <v>11</v>
      </c>
      <c r="P2017" s="4" t="e">
        <f>VLOOKUP(H2017,Stock_list!A:Y,25,FALSE)</f>
        <v>#N/A</v>
      </c>
      <c r="T2017" s="144"/>
      <c r="U2017" s="145" t="e">
        <f>VLOOKUP(H2017,Stock_list!A:N,14,FALSE)</f>
        <v>#N/A</v>
      </c>
    </row>
    <row r="2018" spans="1:21" ht="16.5" customHeight="1">
      <c r="A2018" s="159" t="s">
        <v>274</v>
      </c>
      <c r="B2018" s="114" t="str">
        <f>VLOOKUP(A2018,'Data pick slip'!B:F,5,FALSE)</f>
        <v>KLJ-MC400-00</v>
      </c>
      <c r="F2018" s="157" t="s">
        <v>290</v>
      </c>
      <c r="H2018" s="138">
        <v>642</v>
      </c>
      <c r="I2018" s="139" t="e">
        <f>VLOOKUP(H2018,Stock_list!A:R,18,FALSE)</f>
        <v>#N/A</v>
      </c>
      <c r="J2018" s="139" t="e">
        <f>VLOOKUP(H2018,Stock_list!A:S,17,FALSE)</f>
        <v>#N/A</v>
      </c>
      <c r="K2018" s="51" t="e">
        <f>VLOOKUP(H2018,Stock_list!A:T,16,FALSE)</f>
        <v>#N/A</v>
      </c>
      <c r="L2018" s="4">
        <v>43970</v>
      </c>
      <c r="M2018" s="132">
        <v>4</v>
      </c>
      <c r="P2018" s="4" t="e">
        <f>VLOOKUP(H2018,Stock_list!A:Y,25,FALSE)</f>
        <v>#N/A</v>
      </c>
      <c r="Q2018" s="143"/>
      <c r="T2018" s="144"/>
      <c r="U2018" s="145" t="e">
        <f>VLOOKUP(H2018,Stock_list!A:N,14,FALSE)</f>
        <v>#N/A</v>
      </c>
    </row>
    <row r="2019" spans="1:21" ht="16.5" customHeight="1">
      <c r="A2019" s="159" t="s">
        <v>261</v>
      </c>
      <c r="B2019" s="114" t="str">
        <f>VLOOKUP(A2019,'Data pick slip'!B:F,5,FALSE)</f>
        <v>KHJ-MC100-00</v>
      </c>
      <c r="F2019" s="157" t="s">
        <v>379</v>
      </c>
      <c r="I2019" s="139" t="s">
        <v>533</v>
      </c>
      <c r="J2019" s="139" t="s">
        <v>795</v>
      </c>
      <c r="K2019" s="51" t="s">
        <v>225</v>
      </c>
      <c r="L2019" s="4">
        <v>43964</v>
      </c>
      <c r="M2019" s="140">
        <v>160</v>
      </c>
      <c r="P2019" s="4" t="s">
        <v>214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274</v>
      </c>
      <c r="B2020" s="114" t="str">
        <f>VLOOKUP(A2020,'Data pick slip'!B:F,5,FALSE)</f>
        <v>KLJ-MC400-00</v>
      </c>
      <c r="F2020" s="157" t="s">
        <v>379</v>
      </c>
      <c r="I2020" s="139" t="s">
        <v>533</v>
      </c>
      <c r="J2020" s="139" t="s">
        <v>795</v>
      </c>
      <c r="K2020" s="51" t="s">
        <v>225</v>
      </c>
      <c r="L2020" s="4">
        <v>43964</v>
      </c>
      <c r="M2020" s="140">
        <v>12</v>
      </c>
      <c r="P2020" s="4" t="s">
        <v>214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261</v>
      </c>
      <c r="B2021" s="114" t="str">
        <f>VLOOKUP(A2021,'Data pick slip'!B:F,5,FALSE)</f>
        <v>KHJ-MC100-00</v>
      </c>
      <c r="F2021" s="157" t="s">
        <v>290</v>
      </c>
      <c r="H2021" s="138">
        <v>645</v>
      </c>
      <c r="I2021" s="139" t="e">
        <f>VLOOKUP(H2021,Stock_list!A:R,18,FALSE)</f>
        <v>#N/A</v>
      </c>
      <c r="J2021" s="139" t="e">
        <f>VLOOKUP(H2021,Stock_list!A:S,17,FALSE)</f>
        <v>#N/A</v>
      </c>
      <c r="K2021" s="51" t="e">
        <f>VLOOKUP(H2021,Stock_list!A:T,16,FALSE)</f>
        <v>#N/A</v>
      </c>
      <c r="L2021" s="4">
        <v>43999</v>
      </c>
      <c r="M2021" s="132">
        <v>100</v>
      </c>
      <c r="P2021" s="4" t="e">
        <f>VLOOKUP(H2021,Stock_list!A:Y,25,FALSE)</f>
        <v>#N/A</v>
      </c>
      <c r="Q2021" s="143"/>
      <c r="T2021" s="144"/>
      <c r="U2021" s="145" t="e">
        <f>VLOOKUP(H2021,Stock_list!A:N,14,FALSE)</f>
        <v>#N/A</v>
      </c>
    </row>
    <row r="2022" spans="1:21" ht="16.5" customHeight="1">
      <c r="A2022" s="159" t="s">
        <v>264</v>
      </c>
      <c r="B2022" s="114" t="str">
        <f>VLOOKUP(A2022,'Data pick slip'!B:F,5,FALSE)</f>
        <v>KHJ-MC200-00</v>
      </c>
      <c r="F2022" s="157" t="s">
        <v>290</v>
      </c>
      <c r="H2022" s="138">
        <v>645</v>
      </c>
      <c r="I2022" s="139" t="e">
        <f>VLOOKUP(H2022,Stock_list!A:R,18,FALSE)</f>
        <v>#N/A</v>
      </c>
      <c r="J2022" s="139" t="e">
        <f>VLOOKUP(H2022,Stock_list!A:S,17,FALSE)</f>
        <v>#N/A</v>
      </c>
      <c r="K2022" s="51" t="e">
        <f>VLOOKUP(H2022,Stock_list!A:T,16,FALSE)</f>
        <v>#N/A</v>
      </c>
      <c r="L2022" s="4">
        <v>43999</v>
      </c>
      <c r="M2022" s="132">
        <v>10</v>
      </c>
      <c r="P2022" s="4" t="e">
        <f>VLOOKUP(H2022,Stock_list!A:Y,25,FALSE)</f>
        <v>#N/A</v>
      </c>
      <c r="Q2022" s="143"/>
      <c r="T2022" s="144"/>
      <c r="U2022" s="145" t="e">
        <f>VLOOKUP(H2022,Stock_list!A:N,14,FALSE)</f>
        <v>#N/A</v>
      </c>
    </row>
    <row r="2023" spans="1:21" ht="16.5" customHeight="1">
      <c r="A2023" s="159" t="s">
        <v>265</v>
      </c>
      <c r="B2023" s="114" t="str">
        <f>VLOOKUP(A2023,'Data pick slip'!B:F,5,FALSE)</f>
        <v>KHJ-MC400-00</v>
      </c>
      <c r="F2023" s="157" t="s">
        <v>290</v>
      </c>
      <c r="H2023" s="138">
        <v>645</v>
      </c>
      <c r="I2023" s="139" t="e">
        <f>VLOOKUP(H2023,Stock_list!A:R,18,FALSE)</f>
        <v>#N/A</v>
      </c>
      <c r="J2023" s="139" t="e">
        <f>VLOOKUP(H2023,Stock_list!A:S,17,FALSE)</f>
        <v>#N/A</v>
      </c>
      <c r="K2023" s="51" t="e">
        <f>VLOOKUP(H2023,Stock_list!A:T,16,FALSE)</f>
        <v>#N/A</v>
      </c>
      <c r="L2023" s="4">
        <v>43999</v>
      </c>
      <c r="M2023" s="132">
        <v>3</v>
      </c>
      <c r="P2023" s="4" t="e">
        <f>VLOOKUP(H2023,Stock_list!A:Y,25,FALSE)</f>
        <v>#N/A</v>
      </c>
      <c r="Q2023" s="143"/>
      <c r="T2023" s="144"/>
      <c r="U2023" s="145" t="e">
        <f>VLOOKUP(H2023,Stock_list!A:N,14,FALSE)</f>
        <v>#N/A</v>
      </c>
    </row>
    <row r="2024" spans="1:21" ht="16.5" customHeight="1">
      <c r="A2024" s="159" t="s">
        <v>266</v>
      </c>
      <c r="B2024" s="114" t="str">
        <f>VLOOKUP(A2024,'Data pick slip'!B:F,5,FALSE)</f>
        <v>KHJ-MC500-00</v>
      </c>
      <c r="F2024" s="157" t="s">
        <v>290</v>
      </c>
      <c r="H2024" s="138">
        <v>645</v>
      </c>
      <c r="I2024" s="139" t="e">
        <f>VLOOKUP(H2024,Stock_list!A:R,18,FALSE)</f>
        <v>#N/A</v>
      </c>
      <c r="J2024" s="139" t="e">
        <f>VLOOKUP(H2024,Stock_list!A:S,17,FALSE)</f>
        <v>#N/A</v>
      </c>
      <c r="K2024" s="51" t="e">
        <f>VLOOKUP(H2024,Stock_list!A:T,16,FALSE)</f>
        <v>#N/A</v>
      </c>
      <c r="L2024" s="4">
        <v>43999</v>
      </c>
      <c r="M2024" s="132">
        <v>1</v>
      </c>
      <c r="P2024" s="4" t="e">
        <f>VLOOKUP(H2024,Stock_list!A:Y,25,FALSE)</f>
        <v>#N/A</v>
      </c>
      <c r="Q2024" s="143"/>
      <c r="T2024" s="144"/>
      <c r="U2024" s="145" t="e">
        <f>VLOOKUP(H2024,Stock_list!A:N,14,FALSE)</f>
        <v>#N/A</v>
      </c>
    </row>
    <row r="2025" spans="1:21" ht="16.5" customHeight="1">
      <c r="A2025" s="159" t="s">
        <v>266</v>
      </c>
      <c r="B2025" s="114" t="str">
        <f>VLOOKUP(A2025,'Data pick slip'!B:F,5,FALSE)</f>
        <v>KHJ-MC500-00</v>
      </c>
      <c r="F2025" s="157" t="s">
        <v>290</v>
      </c>
      <c r="I2025" s="139" t="s">
        <v>611</v>
      </c>
      <c r="J2025" s="139" t="s">
        <v>796</v>
      </c>
      <c r="K2025" s="51" t="s">
        <v>225</v>
      </c>
      <c r="L2025" s="4">
        <v>43970</v>
      </c>
      <c r="M2025" s="140">
        <v>1</v>
      </c>
      <c r="P2025" s="4" t="s">
        <v>214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273</v>
      </c>
      <c r="B2026" s="114" t="str">
        <f>VLOOKUP(A2026,'Data pick slip'!B:F,5,FALSE)</f>
        <v>KLJ-MC200-00</v>
      </c>
      <c r="F2026" s="157" t="s">
        <v>379</v>
      </c>
      <c r="I2026" s="139" t="s">
        <v>371</v>
      </c>
      <c r="J2026" s="139" t="s">
        <v>797</v>
      </c>
      <c r="K2026" s="51" t="s">
        <v>520</v>
      </c>
      <c r="L2026" s="4">
        <v>43971</v>
      </c>
      <c r="M2026" s="140">
        <v>14</v>
      </c>
      <c r="P2026" s="4" t="s">
        <v>214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265</v>
      </c>
      <c r="B2027" s="114" t="str">
        <f>VLOOKUP(A2027,'Data pick slip'!B:F,5,FALSE)</f>
        <v>KHJ-MC400-00</v>
      </c>
      <c r="F2027" s="157" t="s">
        <v>290</v>
      </c>
      <c r="I2027" s="139" t="s">
        <v>617</v>
      </c>
      <c r="J2027" s="139" t="s">
        <v>798</v>
      </c>
      <c r="K2027" s="51" t="s">
        <v>225</v>
      </c>
      <c r="L2027" s="4">
        <v>43998</v>
      </c>
      <c r="M2027" s="140">
        <v>1</v>
      </c>
      <c r="P2027" s="4" t="s">
        <v>214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272</v>
      </c>
      <c r="B2028" s="114" t="str">
        <f>VLOOKUP(A2028,'Data pick slip'!B:F,5,FALSE)</f>
        <v>KLJ-MC100-00</v>
      </c>
      <c r="F2028" s="157" t="s">
        <v>379</v>
      </c>
      <c r="H2028" s="138">
        <v>461</v>
      </c>
      <c r="I2028" s="139" t="e">
        <f>VLOOKUP(H2028,Stock_list!A:R,18,FALSE)</f>
        <v>#N/A</v>
      </c>
      <c r="J2028" s="139" t="e">
        <f>VLOOKUP(H2028,Stock_list!A:S,17,FALSE)</f>
        <v>#N/A</v>
      </c>
      <c r="K2028" s="51" t="e">
        <f>VLOOKUP(H2028,Stock_list!A:T,16,FALSE)</f>
        <v>#N/A</v>
      </c>
      <c r="L2028" s="4">
        <v>44061</v>
      </c>
      <c r="M2028" s="132">
        <v>100</v>
      </c>
      <c r="P2028" s="4" t="e">
        <f>VLOOKUP(H2028,Stock_list!A:Y,25,FALSE)</f>
        <v>#N/A</v>
      </c>
      <c r="Q2028" s="143"/>
      <c r="T2028" s="144"/>
      <c r="U2028" s="145" t="e">
        <f>VLOOKUP(H2028,Stock_list!A:N,14,FALSE)</f>
        <v>#N/A</v>
      </c>
    </row>
    <row r="2029" spans="1:21" ht="16.5" customHeight="1">
      <c r="A2029" s="159" t="s">
        <v>273</v>
      </c>
      <c r="B2029" s="114" t="str">
        <f>VLOOKUP(A2029,'Data pick slip'!B:F,5,FALSE)</f>
        <v>KLJ-MC200-00</v>
      </c>
      <c r="F2029" s="157" t="s">
        <v>379</v>
      </c>
      <c r="H2029" s="138">
        <v>461</v>
      </c>
      <c r="I2029" s="139" t="e">
        <f>VLOOKUP(H2029,Stock_list!A:R,18,FALSE)</f>
        <v>#N/A</v>
      </c>
      <c r="J2029" s="139" t="e">
        <f>VLOOKUP(H2029,Stock_list!A:S,17,FALSE)</f>
        <v>#N/A</v>
      </c>
      <c r="K2029" s="51" t="e">
        <f>VLOOKUP(H2029,Stock_list!A:T,16,FALSE)</f>
        <v>#N/A</v>
      </c>
      <c r="L2029" s="4">
        <v>44061</v>
      </c>
      <c r="M2029" s="132">
        <v>20</v>
      </c>
      <c r="P2029" s="4" t="e">
        <f>VLOOKUP(H2029,Stock_list!A:Y,25,FALSE)</f>
        <v>#N/A</v>
      </c>
      <c r="T2029" s="144"/>
      <c r="U2029" s="145" t="e">
        <f>VLOOKUP(H2029,Stock_list!A:N,14,FALSE)</f>
        <v>#N/A</v>
      </c>
    </row>
    <row r="2030" spans="1:21" ht="16.5" customHeight="1">
      <c r="A2030" s="159" t="s">
        <v>274</v>
      </c>
      <c r="B2030" s="114" t="str">
        <f>VLOOKUP(A2030,'Data pick slip'!B:F,5,FALSE)</f>
        <v>KLJ-MC400-00</v>
      </c>
      <c r="F2030" s="157" t="s">
        <v>379</v>
      </c>
      <c r="H2030" s="138">
        <v>461</v>
      </c>
      <c r="I2030" s="139" t="e">
        <f>VLOOKUP(H2030,Stock_list!A:R,18,FALSE)</f>
        <v>#N/A</v>
      </c>
      <c r="J2030" s="139" t="e">
        <f>VLOOKUP(H2030,Stock_list!A:S,17,FALSE)</f>
        <v>#N/A</v>
      </c>
      <c r="K2030" s="51" t="e">
        <f>VLOOKUP(H2030,Stock_list!A:T,16,FALSE)</f>
        <v>#N/A</v>
      </c>
      <c r="L2030" s="4">
        <v>44061</v>
      </c>
      <c r="M2030" s="132">
        <v>3</v>
      </c>
      <c r="P2030" s="4" t="e">
        <f>VLOOKUP(H2030,Stock_list!A:Y,25,FALSE)</f>
        <v>#N/A</v>
      </c>
      <c r="Q2030" s="143"/>
      <c r="T2030" s="144"/>
      <c r="U2030" s="145" t="e">
        <f>VLOOKUP(H2030,Stock_list!A:N,14,FALSE)</f>
        <v>#N/A</v>
      </c>
    </row>
    <row r="2031" spans="1:21" ht="16.5" customHeight="1">
      <c r="A2031" s="159" t="s">
        <v>275</v>
      </c>
      <c r="B2031" s="114" t="str">
        <f>VLOOKUP(A2031,'Data pick slip'!B:F,5,FALSE)</f>
        <v>KLJ-MC500-00</v>
      </c>
      <c r="F2031" s="157" t="s">
        <v>379</v>
      </c>
      <c r="H2031" s="138">
        <v>461</v>
      </c>
      <c r="I2031" s="139" t="e">
        <f>VLOOKUP(H2031,Stock_list!A:R,18,FALSE)</f>
        <v>#N/A</v>
      </c>
      <c r="J2031" s="139" t="e">
        <f>VLOOKUP(H2031,Stock_list!A:S,17,FALSE)</f>
        <v>#N/A</v>
      </c>
      <c r="K2031" s="51" t="e">
        <f>VLOOKUP(H2031,Stock_list!A:T,16,FALSE)</f>
        <v>#N/A</v>
      </c>
      <c r="L2031" s="4">
        <v>44061</v>
      </c>
      <c r="M2031" s="132">
        <v>1</v>
      </c>
      <c r="P2031" s="4" t="e">
        <f>VLOOKUP(H2031,Stock_list!A:Y,25,FALSE)</f>
        <v>#N/A</v>
      </c>
      <c r="Q2031" s="143"/>
      <c r="T2031" s="144"/>
      <c r="U2031" s="145" t="e">
        <f>VLOOKUP(H2031,Stock_list!A:N,14,FALSE)</f>
        <v>#N/A</v>
      </c>
    </row>
    <row r="2032" spans="1:21" ht="16.5" customHeight="1">
      <c r="A2032" s="159" t="s">
        <v>273</v>
      </c>
      <c r="B2032" s="114" t="str">
        <f>VLOOKUP(A2032,'Data pick slip'!B:F,5,FALSE)</f>
        <v>KLJ-MC200-00</v>
      </c>
      <c r="F2032" s="157" t="s">
        <v>290</v>
      </c>
      <c r="I2032" s="139" t="s">
        <v>633</v>
      </c>
      <c r="J2032" s="139" t="s">
        <v>799</v>
      </c>
      <c r="K2032" s="51" t="s">
        <v>225</v>
      </c>
      <c r="L2032" s="4">
        <v>43972</v>
      </c>
      <c r="M2032" s="140">
        <v>14</v>
      </c>
      <c r="P2032" s="4" t="s">
        <v>214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265</v>
      </c>
      <c r="B2033" s="114" t="str">
        <f>VLOOKUP(A2033,'Data pick slip'!B:F,5,FALSE)</f>
        <v>KHJ-MC400-00</v>
      </c>
      <c r="F2033" s="157" t="s">
        <v>290</v>
      </c>
      <c r="I2033" s="139" t="s">
        <v>633</v>
      </c>
      <c r="J2033" s="139" t="s">
        <v>800</v>
      </c>
      <c r="K2033" s="51" t="s">
        <v>225</v>
      </c>
      <c r="L2033" s="4">
        <v>43972</v>
      </c>
      <c r="M2033" s="140">
        <v>3</v>
      </c>
      <c r="P2033" s="4" t="s">
        <v>214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268</v>
      </c>
      <c r="B2034" s="114" t="str">
        <f>VLOOKUP(A2034,'Data pick slip'!B:F,5,FALSE)</f>
        <v>KHJ-MC700-00</v>
      </c>
      <c r="F2034" s="157" t="s">
        <v>290</v>
      </c>
      <c r="I2034" s="139" t="s">
        <v>633</v>
      </c>
      <c r="J2034" s="139" t="s">
        <v>800</v>
      </c>
      <c r="K2034" s="51" t="s">
        <v>225</v>
      </c>
      <c r="L2034" s="4">
        <v>43972</v>
      </c>
      <c r="M2034" s="140">
        <v>1</v>
      </c>
      <c r="P2034" s="4" t="s">
        <v>214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261</v>
      </c>
      <c r="B2035" s="114" t="str">
        <f>VLOOKUP(A2035,'Data pick slip'!B:F,5,FALSE)</f>
        <v>KHJ-MC100-00</v>
      </c>
      <c r="F2035" s="157" t="s">
        <v>290</v>
      </c>
      <c r="I2035" s="139" t="s">
        <v>611</v>
      </c>
      <c r="J2035" s="139" t="s">
        <v>801</v>
      </c>
      <c r="K2035" s="51" t="s">
        <v>225</v>
      </c>
      <c r="L2035" s="4">
        <v>43973</v>
      </c>
      <c r="M2035" s="140">
        <v>2</v>
      </c>
      <c r="P2035" s="4" t="s">
        <v>214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261</v>
      </c>
      <c r="B2036" s="114" t="str">
        <f>VLOOKUP(A2036,'Data pick slip'!B:F,5,FALSE)</f>
        <v>KHJ-MC100-00</v>
      </c>
      <c r="F2036" s="157" t="s">
        <v>290</v>
      </c>
      <c r="I2036" s="139" t="s">
        <v>611</v>
      </c>
      <c r="J2036" s="139" t="s">
        <v>802</v>
      </c>
      <c r="K2036" s="51" t="s">
        <v>225</v>
      </c>
      <c r="L2036" s="4">
        <v>43973</v>
      </c>
      <c r="M2036" s="140">
        <v>1</v>
      </c>
      <c r="P2036" s="4" t="s">
        <v>214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261</v>
      </c>
      <c r="B2037" s="114" t="str">
        <f>VLOOKUP(A2037,'Data pick slip'!B:F,5,FALSE)</f>
        <v>KHJ-MC100-00</v>
      </c>
      <c r="F2037" s="157" t="s">
        <v>290</v>
      </c>
      <c r="H2037" s="138">
        <v>652</v>
      </c>
      <c r="I2037" s="139" t="e">
        <f>VLOOKUP(H2037,Stock_list!A:R,18,FALSE)</f>
        <v>#N/A</v>
      </c>
      <c r="J2037" s="139" t="e">
        <f>VLOOKUP(H2037,Stock_list!A:S,17,FALSE)</f>
        <v>#N/A</v>
      </c>
      <c r="K2037" s="51" t="e">
        <f>VLOOKUP(H2037,Stock_list!A:T,16,FALSE)</f>
        <v>#N/A</v>
      </c>
      <c r="L2037" s="4">
        <v>43985</v>
      </c>
      <c r="M2037" s="132">
        <v>15</v>
      </c>
      <c r="P2037" s="4" t="e">
        <f>VLOOKUP(H2037,Stock_list!A:Y,25,FALSE)</f>
        <v>#N/A</v>
      </c>
      <c r="Q2037" s="143"/>
      <c r="T2037" s="144"/>
      <c r="U2037" s="145" t="e">
        <f>VLOOKUP(H2037,Stock_list!A:N,14,FALSE)</f>
        <v>#N/A</v>
      </c>
    </row>
    <row r="2038" spans="1:21" ht="16.5" customHeight="1">
      <c r="A2038" s="159" t="s">
        <v>273</v>
      </c>
      <c r="B2038" s="114" t="str">
        <f>VLOOKUP(A2038,'Data pick slip'!B:F,5,FALSE)</f>
        <v>KLJ-MC200-00</v>
      </c>
      <c r="F2038" s="157" t="s">
        <v>290</v>
      </c>
      <c r="H2038" s="138">
        <v>652</v>
      </c>
      <c r="I2038" s="139" t="e">
        <f>VLOOKUP(H2038,Stock_list!A:R,18,FALSE)</f>
        <v>#N/A</v>
      </c>
      <c r="J2038" s="139" t="e">
        <f>VLOOKUP(H2038,Stock_list!A:S,17,FALSE)</f>
        <v>#N/A</v>
      </c>
      <c r="K2038" s="51" t="e">
        <f>VLOOKUP(H2038,Stock_list!A:T,16,FALSE)</f>
        <v>#N/A</v>
      </c>
      <c r="L2038" s="4">
        <v>43985</v>
      </c>
      <c r="M2038" s="132">
        <v>3</v>
      </c>
      <c r="P2038" s="4" t="e">
        <f>VLOOKUP(H2038,Stock_list!A:Y,25,FALSE)</f>
        <v>#N/A</v>
      </c>
      <c r="T2038" s="144"/>
      <c r="U2038" s="145" t="e">
        <f>VLOOKUP(H2038,Stock_list!A:N,14,FALSE)</f>
        <v>#N/A</v>
      </c>
    </row>
    <row r="2039" spans="1:21" ht="16.5" customHeight="1">
      <c r="A2039" s="159" t="s">
        <v>261</v>
      </c>
      <c r="B2039" s="114" t="str">
        <f>VLOOKUP(A2039,'Data pick slip'!B:F,5,FALSE)</f>
        <v>KHJ-MC100-00</v>
      </c>
      <c r="F2039" s="157" t="s">
        <v>290</v>
      </c>
      <c r="I2039" s="139" t="s">
        <v>611</v>
      </c>
      <c r="J2039" s="139" t="s">
        <v>803</v>
      </c>
      <c r="K2039" s="51" t="s">
        <v>225</v>
      </c>
      <c r="L2039" s="4">
        <v>43977</v>
      </c>
      <c r="M2039" s="140">
        <v>20</v>
      </c>
      <c r="P2039" s="4" t="s">
        <v>214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266</v>
      </c>
      <c r="B2040" s="114" t="str">
        <f>VLOOKUP(A2040,'Data pick slip'!B:F,5,FALSE)</f>
        <v>KHJ-MC500-00</v>
      </c>
      <c r="F2040" s="157" t="s">
        <v>290</v>
      </c>
      <c r="I2040" s="139" t="s">
        <v>804</v>
      </c>
      <c r="J2040" s="139" t="s">
        <v>805</v>
      </c>
      <c r="K2040" s="51" t="s">
        <v>225</v>
      </c>
      <c r="L2040" s="4">
        <v>43985</v>
      </c>
      <c r="M2040" s="140">
        <v>3</v>
      </c>
      <c r="P2040" s="4" t="s">
        <v>214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264</v>
      </c>
      <c r="B2041" s="114" t="str">
        <f>VLOOKUP(A2041,'Data pick slip'!B:F,5,FALSE)</f>
        <v>KHJ-MC200-00</v>
      </c>
      <c r="F2041" s="157" t="s">
        <v>379</v>
      </c>
      <c r="I2041" s="139" t="s">
        <v>533</v>
      </c>
      <c r="J2041" s="139" t="s">
        <v>806</v>
      </c>
      <c r="K2041" s="51" t="s">
        <v>225</v>
      </c>
      <c r="L2041" s="4">
        <v>43984</v>
      </c>
      <c r="M2041" s="140">
        <v>4</v>
      </c>
      <c r="P2041" s="4" t="s">
        <v>214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266</v>
      </c>
      <c r="B2042" s="114" t="str">
        <f>VLOOKUP(A2042,'Data pick slip'!B:F,5,FALSE)</f>
        <v>KHJ-MC500-00</v>
      </c>
      <c r="F2042" s="157" t="s">
        <v>379</v>
      </c>
      <c r="I2042" s="139" t="s">
        <v>533</v>
      </c>
      <c r="J2042" s="139" t="s">
        <v>806</v>
      </c>
      <c r="K2042" s="51" t="s">
        <v>225</v>
      </c>
      <c r="L2042" s="4">
        <v>43984</v>
      </c>
      <c r="M2042" s="140">
        <v>4</v>
      </c>
      <c r="P2042" s="4" t="s">
        <v>214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277</v>
      </c>
      <c r="B2043" s="114" t="str">
        <f>VLOOKUP(A2043,'Data pick slip'!B:F,5,FALSE)</f>
        <v>KLJ-MC700-00</v>
      </c>
      <c r="F2043" s="157" t="s">
        <v>379</v>
      </c>
      <c r="I2043" s="139" t="s">
        <v>533</v>
      </c>
      <c r="J2043" s="139" t="s">
        <v>806</v>
      </c>
      <c r="K2043" s="51" t="s">
        <v>225</v>
      </c>
      <c r="L2043" s="4">
        <v>43984</v>
      </c>
      <c r="M2043" s="140">
        <v>1</v>
      </c>
      <c r="P2043" s="4" t="s">
        <v>214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268</v>
      </c>
      <c r="B2044" s="114" t="str">
        <f>VLOOKUP(A2044,'Data pick slip'!B:F,5,FALSE)</f>
        <v>KHJ-MC700-00</v>
      </c>
      <c r="F2044" s="157" t="s">
        <v>379</v>
      </c>
      <c r="I2044" s="139" t="s">
        <v>533</v>
      </c>
      <c r="J2044" s="139" t="s">
        <v>806</v>
      </c>
      <c r="K2044" s="51" t="s">
        <v>225</v>
      </c>
      <c r="L2044" s="4">
        <v>43984</v>
      </c>
      <c r="M2044" s="140">
        <v>3</v>
      </c>
      <c r="P2044" s="4" t="s">
        <v>214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261</v>
      </c>
      <c r="B2045" s="114" t="str">
        <f>VLOOKUP(A2045,'Data pick slip'!B:F,5,FALSE)</f>
        <v>KHJ-MC100-00</v>
      </c>
      <c r="F2045" s="157" t="s">
        <v>290</v>
      </c>
      <c r="H2045" s="138">
        <v>656</v>
      </c>
      <c r="I2045" s="139" t="e">
        <f>VLOOKUP(H2045,Stock_list!A:R,18,FALSE)</f>
        <v>#N/A</v>
      </c>
      <c r="J2045" s="139" t="e">
        <f>VLOOKUP(H2045,Stock_list!A:S,17,FALSE)</f>
        <v>#N/A</v>
      </c>
      <c r="K2045" s="51" t="e">
        <f>VLOOKUP(H2045,Stock_list!A:T,16,FALSE)</f>
        <v>#N/A</v>
      </c>
      <c r="L2045" s="4">
        <v>44029</v>
      </c>
      <c r="M2045" s="132">
        <v>90</v>
      </c>
      <c r="P2045" s="4" t="e">
        <f>VLOOKUP(H2045,Stock_list!A:Y,25,FALSE)</f>
        <v>#N/A</v>
      </c>
      <c r="Q2045" s="143"/>
      <c r="T2045" s="144"/>
      <c r="U2045" s="145" t="e">
        <f>VLOOKUP(H2045,Stock_list!A:N,14,FALSE)</f>
        <v>#N/A</v>
      </c>
    </row>
    <row r="2046" spans="1:21" ht="16.5" customHeight="1">
      <c r="A2046" s="159" t="s">
        <v>261</v>
      </c>
      <c r="B2046" s="114" t="str">
        <f>VLOOKUP(A2046,'Data pick slip'!B:F,5,FALSE)</f>
        <v>KHJ-MC100-00</v>
      </c>
      <c r="F2046" s="157" t="s">
        <v>290</v>
      </c>
      <c r="H2046" s="138">
        <v>656</v>
      </c>
      <c r="I2046" s="139" t="e">
        <f>VLOOKUP(H2046,Stock_list!A:R,18,FALSE)</f>
        <v>#N/A</v>
      </c>
      <c r="J2046" s="139" t="e">
        <f>VLOOKUP(H2046,Stock_list!A:S,17,FALSE)</f>
        <v>#N/A</v>
      </c>
      <c r="K2046" s="51" t="e">
        <f>VLOOKUP(H2046,Stock_list!A:T,16,FALSE)</f>
        <v>#N/A</v>
      </c>
      <c r="L2046" s="4">
        <v>44012</v>
      </c>
      <c r="M2046" s="132">
        <v>30</v>
      </c>
      <c r="O2046" s="149"/>
      <c r="P2046" s="4" t="e">
        <f>VLOOKUP(H2046,Stock_list!A:Y,25,FALSE)</f>
        <v>#N/A</v>
      </c>
      <c r="Q2046" s="143"/>
      <c r="T2046" s="144"/>
      <c r="U2046" s="145" t="e">
        <f>VLOOKUP(H2046,Stock_list!A:N,14,FALSE)</f>
        <v>#N/A</v>
      </c>
    </row>
    <row r="2047" spans="1:21" ht="16.5" customHeight="1">
      <c r="A2047" s="159" t="s">
        <v>264</v>
      </c>
      <c r="B2047" s="114" t="str">
        <f>VLOOKUP(A2047,'Data pick slip'!B:F,5,FALSE)</f>
        <v>KHJ-MC200-00</v>
      </c>
      <c r="F2047" s="157" t="s">
        <v>290</v>
      </c>
      <c r="H2047" s="138">
        <v>656</v>
      </c>
      <c r="I2047" s="139" t="e">
        <f>VLOOKUP(H2047,Stock_list!A:R,18,FALSE)</f>
        <v>#N/A</v>
      </c>
      <c r="J2047" s="139" t="e">
        <f>VLOOKUP(H2047,Stock_list!A:S,17,FALSE)</f>
        <v>#N/A</v>
      </c>
      <c r="K2047" s="51" t="e">
        <f>VLOOKUP(H2047,Stock_list!A:T,16,FALSE)</f>
        <v>#N/A</v>
      </c>
      <c r="L2047" s="4">
        <v>43998</v>
      </c>
      <c r="M2047" s="140">
        <v>15</v>
      </c>
      <c r="O2047" s="149"/>
      <c r="P2047" s="4" t="e">
        <f>VLOOKUP(H2047,Stock_list!A:Y,25,FALSE)</f>
        <v>#N/A</v>
      </c>
      <c r="Q2047" s="143"/>
      <c r="T2047" s="144"/>
      <c r="U2047" s="145" t="e">
        <f>VLOOKUP(H2047,Stock_list!A:N,14,FALSE)</f>
        <v>#N/A</v>
      </c>
    </row>
    <row r="2048" spans="1:21" ht="16.5" customHeight="1">
      <c r="A2048" s="159" t="s">
        <v>264</v>
      </c>
      <c r="B2048" s="114" t="str">
        <f>VLOOKUP(A2048,'Data pick slip'!B:F,5,FALSE)</f>
        <v>KHJ-MC200-00</v>
      </c>
      <c r="F2048" s="157" t="s">
        <v>290</v>
      </c>
      <c r="H2048" s="138">
        <v>656</v>
      </c>
      <c r="I2048" s="139" t="e">
        <f>VLOOKUP(H2048,Stock_list!A:R,18,FALSE)</f>
        <v>#N/A</v>
      </c>
      <c r="J2048" s="139" t="e">
        <f>VLOOKUP(H2048,Stock_list!A:S,17,FALSE)</f>
        <v>#N/A</v>
      </c>
      <c r="K2048" s="51" t="e">
        <f>VLOOKUP(H2048,Stock_list!A:T,16,FALSE)</f>
        <v>#N/A</v>
      </c>
      <c r="L2048" s="4">
        <v>44029</v>
      </c>
      <c r="M2048" s="132">
        <v>3</v>
      </c>
      <c r="O2048" s="140"/>
      <c r="P2048" s="4" t="e">
        <f>VLOOKUP(H2048,Stock_list!A:Y,25,FALSE)</f>
        <v>#N/A</v>
      </c>
      <c r="Q2048" s="143"/>
      <c r="T2048" s="144"/>
      <c r="U2048" s="145" t="e">
        <f>VLOOKUP(H2048,Stock_list!A:N,14,FALSE)</f>
        <v>#N/A</v>
      </c>
    </row>
    <row r="2049" spans="1:21" ht="16.5" customHeight="1">
      <c r="A2049" s="159" t="s">
        <v>265</v>
      </c>
      <c r="B2049" s="114" t="str">
        <f>VLOOKUP(A2049,'Data pick slip'!B:F,5,FALSE)</f>
        <v>KHJ-MC400-00</v>
      </c>
      <c r="F2049" s="157" t="s">
        <v>290</v>
      </c>
      <c r="H2049" s="138">
        <v>656</v>
      </c>
      <c r="I2049" s="139" t="e">
        <f>VLOOKUP(H2049,Stock_list!A:R,18,FALSE)</f>
        <v>#N/A</v>
      </c>
      <c r="J2049" s="139" t="e">
        <f>VLOOKUP(H2049,Stock_list!A:S,17,FALSE)</f>
        <v>#N/A</v>
      </c>
      <c r="K2049" s="51" t="e">
        <f>VLOOKUP(H2049,Stock_list!A:T,16,FALSE)</f>
        <v>#N/A</v>
      </c>
      <c r="L2049" s="4">
        <v>44029</v>
      </c>
      <c r="M2049" s="132">
        <v>4</v>
      </c>
      <c r="P2049" s="4" t="e">
        <f>VLOOKUP(H2049,Stock_list!A:Y,25,FALSE)</f>
        <v>#N/A</v>
      </c>
      <c r="Q2049" s="143"/>
      <c r="T2049" s="144"/>
      <c r="U2049" s="145" t="e">
        <f>VLOOKUP(H2049,Stock_list!A:N,14,FALSE)</f>
        <v>#N/A</v>
      </c>
    </row>
    <row r="2050" spans="1:21" ht="16.5" customHeight="1">
      <c r="A2050" s="159" t="s">
        <v>266</v>
      </c>
      <c r="B2050" s="114" t="str">
        <f>VLOOKUP(A2050,'Data pick slip'!B:F,5,FALSE)</f>
        <v>KHJ-MC500-00</v>
      </c>
      <c r="F2050" s="157" t="s">
        <v>290</v>
      </c>
      <c r="H2050" s="138">
        <v>656</v>
      </c>
      <c r="I2050" s="139" t="e">
        <f>VLOOKUP(H2050,Stock_list!A:R,18,FALSE)</f>
        <v>#N/A</v>
      </c>
      <c r="J2050" s="139" t="e">
        <f>VLOOKUP(H2050,Stock_list!A:S,17,FALSE)</f>
        <v>#N/A</v>
      </c>
      <c r="K2050" s="51" t="e">
        <f>VLOOKUP(H2050,Stock_list!A:T,16,FALSE)</f>
        <v>#N/A</v>
      </c>
      <c r="L2050" s="4">
        <v>44029</v>
      </c>
      <c r="M2050" s="132">
        <v>4</v>
      </c>
      <c r="P2050" s="4" t="e">
        <f>VLOOKUP(H2050,Stock_list!A:Y,25,FALSE)</f>
        <v>#N/A</v>
      </c>
      <c r="Q2050" s="143"/>
      <c r="T2050" s="144"/>
      <c r="U2050" s="145" t="e">
        <f>VLOOKUP(H2050,Stock_list!A:N,14,FALSE)</f>
        <v>#N/A</v>
      </c>
    </row>
    <row r="2051" spans="1:21" ht="16.5" customHeight="1">
      <c r="A2051" s="159" t="s">
        <v>267</v>
      </c>
      <c r="B2051" s="114" t="str">
        <f>VLOOKUP(A2051,'Data pick slip'!B:F,5,FALSE)</f>
        <v>KHJ-MC600-00</v>
      </c>
      <c r="F2051" s="157" t="s">
        <v>290</v>
      </c>
      <c r="H2051" s="138">
        <v>656</v>
      </c>
      <c r="I2051" s="139" t="e">
        <f>VLOOKUP(H2051,Stock_list!A:R,18,FALSE)</f>
        <v>#N/A</v>
      </c>
      <c r="J2051" s="139" t="e">
        <f>VLOOKUP(H2051,Stock_list!A:S,17,FALSE)</f>
        <v>#N/A</v>
      </c>
      <c r="K2051" s="51" t="e">
        <f>VLOOKUP(H2051,Stock_list!A:T,16,FALSE)</f>
        <v>#N/A</v>
      </c>
      <c r="L2051" s="4">
        <v>44029</v>
      </c>
      <c r="M2051" s="132">
        <v>1</v>
      </c>
      <c r="P2051" s="4" t="e">
        <f>VLOOKUP(H2051,Stock_list!A:Y,25,FALSE)</f>
        <v>#N/A</v>
      </c>
      <c r="Q2051" s="143"/>
      <c r="T2051" s="144"/>
      <c r="U2051" s="145" t="e">
        <f>VLOOKUP(H2051,Stock_list!A:N,14,FALSE)</f>
        <v>#N/A</v>
      </c>
    </row>
    <row r="2052" spans="1:21" ht="16.5" customHeight="1">
      <c r="A2052" s="159" t="s">
        <v>261</v>
      </c>
      <c r="B2052" s="114" t="str">
        <f>VLOOKUP(A2052,'Data pick slip'!B:F,5,FALSE)</f>
        <v>KHJ-MC100-00</v>
      </c>
      <c r="F2052" s="157" t="s">
        <v>290</v>
      </c>
      <c r="I2052" s="139" t="s">
        <v>617</v>
      </c>
      <c r="J2052" s="139" t="s">
        <v>807</v>
      </c>
      <c r="K2052" s="51" t="s">
        <v>225</v>
      </c>
      <c r="L2052" s="4">
        <v>43990</v>
      </c>
      <c r="M2052" s="140">
        <v>10</v>
      </c>
      <c r="P2052" s="4" t="s">
        <v>214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264</v>
      </c>
      <c r="B2053" s="114" t="str">
        <f>VLOOKUP(A2053,'Data pick slip'!B:F,5,FALSE)</f>
        <v>KHJ-MC200-00</v>
      </c>
      <c r="F2053" s="157" t="s">
        <v>290</v>
      </c>
      <c r="I2053" s="139" t="s">
        <v>617</v>
      </c>
      <c r="J2053" s="139" t="s">
        <v>807</v>
      </c>
      <c r="K2053" s="51" t="s">
        <v>225</v>
      </c>
      <c r="L2053" s="4">
        <v>43998</v>
      </c>
      <c r="M2053" s="140">
        <v>4</v>
      </c>
      <c r="P2053" s="4" t="s">
        <v>214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265</v>
      </c>
      <c r="B2054" s="114" t="str">
        <f>VLOOKUP(A2054,'Data pick slip'!B:F,5,FALSE)</f>
        <v>KHJ-MC400-00</v>
      </c>
      <c r="F2054" s="157" t="s">
        <v>290</v>
      </c>
      <c r="I2054" s="139" t="s">
        <v>617</v>
      </c>
      <c r="J2054" s="139" t="s">
        <v>807</v>
      </c>
      <c r="K2054" s="51" t="s">
        <v>225</v>
      </c>
      <c r="L2054" s="4">
        <v>43998</v>
      </c>
      <c r="M2054" s="140">
        <v>2</v>
      </c>
      <c r="P2054" s="4" t="s">
        <v>214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261</v>
      </c>
      <c r="B2055" s="114" t="str">
        <f>VLOOKUP(A2055,'Data pick slip'!B:F,5,FALSE)</f>
        <v>KHJ-MC100-00</v>
      </c>
      <c r="F2055" s="157" t="s">
        <v>290</v>
      </c>
      <c r="H2055" s="138">
        <v>660</v>
      </c>
      <c r="I2055" s="139" t="e">
        <f>VLOOKUP(H2055,Stock_list!A:R,18,FALSE)</f>
        <v>#N/A</v>
      </c>
      <c r="J2055" s="139" t="e">
        <f>VLOOKUP(H2055,Stock_list!A:S,17,FALSE)</f>
        <v>#N/A</v>
      </c>
      <c r="K2055" s="51" t="e">
        <f>VLOOKUP(H2055,Stock_list!A:T,16,FALSE)</f>
        <v>#N/A</v>
      </c>
      <c r="L2055" s="4">
        <v>44014</v>
      </c>
      <c r="M2055" s="132">
        <v>35</v>
      </c>
      <c r="P2055" s="4" t="e">
        <f>VLOOKUP(H2055,Stock_list!A:Y,25,FALSE)</f>
        <v>#N/A</v>
      </c>
      <c r="Q2055" s="143"/>
      <c r="T2055" s="144"/>
      <c r="U2055" s="145" t="e">
        <f>VLOOKUP(H2055,Stock_list!A:N,14,FALSE)</f>
        <v>#N/A</v>
      </c>
    </row>
    <row r="2056" spans="1:21" ht="16.5" customHeight="1">
      <c r="A2056" s="159" t="s">
        <v>264</v>
      </c>
      <c r="B2056" s="114" t="str">
        <f>VLOOKUP(A2056,'Data pick slip'!B:F,5,FALSE)</f>
        <v>KHJ-MC200-00</v>
      </c>
      <c r="F2056" s="157" t="s">
        <v>290</v>
      </c>
      <c r="H2056" s="138">
        <v>660</v>
      </c>
      <c r="I2056" s="139" t="e">
        <f>VLOOKUP(H2056,Stock_list!A:R,18,FALSE)</f>
        <v>#N/A</v>
      </c>
      <c r="J2056" s="139" t="e">
        <f>VLOOKUP(H2056,Stock_list!A:S,17,FALSE)</f>
        <v>#N/A</v>
      </c>
      <c r="K2056" s="51" t="e">
        <f>VLOOKUP(H2056,Stock_list!A:T,16,FALSE)</f>
        <v>#N/A</v>
      </c>
      <c r="L2056" s="4">
        <v>44014</v>
      </c>
      <c r="M2056" s="132">
        <v>2</v>
      </c>
      <c r="P2056" s="4" t="e">
        <f>VLOOKUP(H2056,Stock_list!A:Y,25,FALSE)</f>
        <v>#N/A</v>
      </c>
      <c r="Q2056" s="143"/>
      <c r="T2056" s="144"/>
      <c r="U2056" s="145" t="e">
        <f>VLOOKUP(H2056,Stock_list!A:N,14,FALSE)</f>
        <v>#N/A</v>
      </c>
    </row>
    <row r="2057" spans="1:21" ht="16.5" customHeight="1">
      <c r="A2057" s="159" t="s">
        <v>266</v>
      </c>
      <c r="B2057" s="114" t="str">
        <f>VLOOKUP(A2057,'Data pick slip'!B:F,5,FALSE)</f>
        <v>KHJ-MC500-00</v>
      </c>
      <c r="F2057" s="157" t="s">
        <v>290</v>
      </c>
      <c r="I2057" s="139" t="s">
        <v>808</v>
      </c>
      <c r="J2057" s="139" t="s">
        <v>809</v>
      </c>
      <c r="K2057" s="51" t="s">
        <v>225</v>
      </c>
      <c r="L2057" s="4">
        <v>43993</v>
      </c>
      <c r="M2057" s="140">
        <v>2</v>
      </c>
      <c r="P2057" s="4" t="s">
        <v>214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261</v>
      </c>
      <c r="B2058" s="114" t="str">
        <f>VLOOKUP(A2058,'Data pick slip'!B:F,5,FALSE)</f>
        <v>KHJ-MC100-00</v>
      </c>
      <c r="F2058" s="157" t="s">
        <v>290</v>
      </c>
      <c r="H2058" s="138">
        <v>661</v>
      </c>
      <c r="I2058" s="139" t="e">
        <f>VLOOKUP(H2058,Stock_list!A:R,18,FALSE)</f>
        <v>#N/A</v>
      </c>
      <c r="J2058" s="139" t="e">
        <f>VLOOKUP(H2058,Stock_list!A:S,17,FALSE)</f>
        <v>#N/A</v>
      </c>
      <c r="K2058" s="51" t="e">
        <f>VLOOKUP(H2058,Stock_list!A:T,16,FALSE)</f>
        <v>#N/A</v>
      </c>
      <c r="L2058" s="4">
        <v>44000</v>
      </c>
      <c r="M2058" s="132">
        <v>14</v>
      </c>
      <c r="P2058" s="4" t="e">
        <f>VLOOKUP(H2058,Stock_list!A:Y,25,FALSE)</f>
        <v>#N/A</v>
      </c>
      <c r="Q2058" s="143"/>
      <c r="T2058" s="144"/>
      <c r="U2058" s="145" t="e">
        <f>VLOOKUP(H2058,Stock_list!A:N,14,FALSE)</f>
        <v>#N/A</v>
      </c>
    </row>
    <row r="2059" spans="1:21" ht="16.5" customHeight="1">
      <c r="A2059" s="159" t="s">
        <v>264</v>
      </c>
      <c r="B2059" s="114" t="str">
        <f>VLOOKUP(A2059,'Data pick slip'!B:F,5,FALSE)</f>
        <v>KHJ-MC200-00</v>
      </c>
      <c r="F2059" s="157" t="s">
        <v>290</v>
      </c>
      <c r="H2059" s="138">
        <v>661</v>
      </c>
      <c r="I2059" s="139" t="e">
        <f>VLOOKUP(H2059,Stock_list!A:R,18,FALSE)</f>
        <v>#N/A</v>
      </c>
      <c r="J2059" s="139" t="e">
        <f>VLOOKUP(H2059,Stock_list!A:S,17,FALSE)</f>
        <v>#N/A</v>
      </c>
      <c r="K2059" s="51" t="e">
        <f>VLOOKUP(H2059,Stock_list!A:T,16,FALSE)</f>
        <v>#N/A</v>
      </c>
      <c r="L2059" s="4">
        <v>44000</v>
      </c>
      <c r="M2059" s="132">
        <v>2</v>
      </c>
      <c r="P2059" s="4" t="e">
        <f>VLOOKUP(H2059,Stock_list!A:Y,25,FALSE)</f>
        <v>#N/A</v>
      </c>
      <c r="Q2059" s="143"/>
      <c r="T2059" s="144"/>
      <c r="U2059" s="145" t="e">
        <f>VLOOKUP(H2059,Stock_list!A:N,14,FALSE)</f>
        <v>#N/A</v>
      </c>
    </row>
    <row r="2060" spans="1:21" ht="16.5" customHeight="1">
      <c r="A2060" s="159" t="s">
        <v>265</v>
      </c>
      <c r="B2060" s="114" t="str">
        <f>VLOOKUP(A2060,'Data pick slip'!B:F,5,FALSE)</f>
        <v>KHJ-MC400-00</v>
      </c>
      <c r="F2060" s="157" t="s">
        <v>290</v>
      </c>
      <c r="H2060" s="138">
        <v>661</v>
      </c>
      <c r="I2060" s="139" t="e">
        <f>VLOOKUP(H2060,Stock_list!A:R,18,FALSE)</f>
        <v>#N/A</v>
      </c>
      <c r="J2060" s="139" t="e">
        <f>VLOOKUP(H2060,Stock_list!A:S,17,FALSE)</f>
        <v>#N/A</v>
      </c>
      <c r="K2060" s="51" t="e">
        <f>VLOOKUP(H2060,Stock_list!A:T,16,FALSE)</f>
        <v>#N/A</v>
      </c>
      <c r="L2060" s="4">
        <v>44000</v>
      </c>
      <c r="M2060" s="132">
        <v>1</v>
      </c>
      <c r="P2060" s="4" t="e">
        <f>VLOOKUP(H2060,Stock_list!A:Y,25,FALSE)</f>
        <v>#N/A</v>
      </c>
      <c r="Q2060" s="143"/>
      <c r="T2060" s="144"/>
      <c r="U2060" s="145" t="e">
        <f>VLOOKUP(H2060,Stock_list!A:N,14,FALSE)</f>
        <v>#N/A</v>
      </c>
    </row>
    <row r="2061" spans="1:21" ht="16.5" customHeight="1">
      <c r="A2061" s="159" t="s">
        <v>265</v>
      </c>
      <c r="B2061" s="114" t="str">
        <f>VLOOKUP(A2061,'Data pick slip'!B:F,5,FALSE)</f>
        <v>KHJ-MC400-00</v>
      </c>
      <c r="F2061" s="157" t="s">
        <v>290</v>
      </c>
      <c r="H2061" s="138">
        <v>662</v>
      </c>
      <c r="I2061" s="139" t="e">
        <f>VLOOKUP(H2061,Stock_list!A:R,18,FALSE)</f>
        <v>#N/A</v>
      </c>
      <c r="J2061" s="139" t="e">
        <f>VLOOKUP(H2061,Stock_list!A:S,17,FALSE)</f>
        <v>#N/A</v>
      </c>
      <c r="K2061" s="51" t="e">
        <f>VLOOKUP(H2061,Stock_list!A:T,16,FALSE)</f>
        <v>#N/A</v>
      </c>
      <c r="L2061" s="4">
        <v>43999</v>
      </c>
      <c r="M2061" s="140">
        <v>3</v>
      </c>
      <c r="P2061" s="4" t="e">
        <f>VLOOKUP(H2061,Stock_list!A:Y,25,FALSE)</f>
        <v>#N/A</v>
      </c>
      <c r="Q2061" s="143"/>
      <c r="S2061" s="123" t="s">
        <v>521</v>
      </c>
      <c r="T2061" s="205" t="s">
        <v>810</v>
      </c>
      <c r="U2061" s="145" t="e">
        <f>VLOOKUP(H2061,Stock_list!A:N,14,FALSE)</f>
        <v>#N/A</v>
      </c>
    </row>
    <row r="2062" spans="1:21" ht="16.5" customHeight="1">
      <c r="A2062" s="159" t="s">
        <v>261</v>
      </c>
      <c r="B2062" s="114" t="str">
        <f>VLOOKUP(A2062,'Data pick slip'!B:F,5,FALSE)</f>
        <v>KHJ-MC100-00</v>
      </c>
      <c r="F2062" s="157" t="s">
        <v>379</v>
      </c>
      <c r="I2062" s="139" t="s">
        <v>533</v>
      </c>
      <c r="J2062" s="139" t="s">
        <v>811</v>
      </c>
      <c r="K2062" s="51" t="s">
        <v>225</v>
      </c>
      <c r="L2062" s="4">
        <v>43998</v>
      </c>
      <c r="M2062" s="140">
        <v>50</v>
      </c>
      <c r="P2062" s="4" t="s">
        <v>214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264</v>
      </c>
      <c r="B2063" s="114" t="str">
        <f>VLOOKUP(A2063,'Data pick slip'!B:F,5,FALSE)</f>
        <v>KHJ-MC200-00</v>
      </c>
      <c r="F2063" s="157" t="s">
        <v>379</v>
      </c>
      <c r="I2063" s="139" t="s">
        <v>533</v>
      </c>
      <c r="J2063" s="139" t="s">
        <v>811</v>
      </c>
      <c r="K2063" s="51" t="s">
        <v>225</v>
      </c>
      <c r="L2063" s="4">
        <v>43998</v>
      </c>
      <c r="M2063" s="140">
        <v>100</v>
      </c>
      <c r="P2063" s="4" t="s">
        <v>214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265</v>
      </c>
      <c r="B2064" s="114" t="str">
        <f>VLOOKUP(A2064,'Data pick slip'!B:F,5,FALSE)</f>
        <v>KHJ-MC400-00</v>
      </c>
      <c r="F2064" s="157" t="s">
        <v>379</v>
      </c>
      <c r="I2064" s="139" t="s">
        <v>533</v>
      </c>
      <c r="J2064" s="139" t="s">
        <v>811</v>
      </c>
      <c r="K2064" s="51" t="s">
        <v>225</v>
      </c>
      <c r="L2064" s="4">
        <v>43998</v>
      </c>
      <c r="M2064" s="140">
        <v>40</v>
      </c>
      <c r="P2064" s="4" t="s">
        <v>214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267</v>
      </c>
      <c r="B2065" s="114" t="str">
        <f>VLOOKUP(A2065,'Data pick slip'!B:F,5,FALSE)</f>
        <v>KHJ-MC600-00</v>
      </c>
      <c r="F2065" s="157" t="s">
        <v>379</v>
      </c>
      <c r="I2065" s="139" t="s">
        <v>533</v>
      </c>
      <c r="J2065" s="139" t="s">
        <v>811</v>
      </c>
      <c r="K2065" s="51" t="s">
        <v>225</v>
      </c>
      <c r="L2065" s="4">
        <v>43998</v>
      </c>
      <c r="M2065" s="140">
        <v>5</v>
      </c>
      <c r="P2065" s="4" t="s">
        <v>214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264</v>
      </c>
      <c r="B2066" s="114" t="str">
        <f>VLOOKUP(A2066,'Data pick slip'!B:F,5,FALSE)</f>
        <v>KHJ-MC200-00</v>
      </c>
      <c r="F2066" s="157" t="s">
        <v>290</v>
      </c>
      <c r="I2066" s="139" t="s">
        <v>611</v>
      </c>
      <c r="J2066" s="139" t="s">
        <v>812</v>
      </c>
      <c r="K2066" s="51" t="s">
        <v>225</v>
      </c>
      <c r="L2066" s="4">
        <v>43998</v>
      </c>
      <c r="M2066" s="140">
        <v>1</v>
      </c>
      <c r="P2066" s="4" t="s">
        <v>214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265</v>
      </c>
      <c r="B2067" s="114" t="str">
        <f>VLOOKUP(A2067,'Data pick slip'!B:F,5,FALSE)</f>
        <v>KHJ-MC400-00</v>
      </c>
      <c r="F2067" s="157" t="s">
        <v>290</v>
      </c>
      <c r="I2067" s="139" t="s">
        <v>617</v>
      </c>
      <c r="J2067" s="139" t="s">
        <v>813</v>
      </c>
      <c r="K2067" s="51" t="s">
        <v>225</v>
      </c>
      <c r="L2067" s="4">
        <v>43998</v>
      </c>
      <c r="M2067" s="140">
        <v>6</v>
      </c>
      <c r="P2067" s="4" t="s">
        <v>214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261</v>
      </c>
      <c r="B2068" s="114" t="str">
        <f>VLOOKUP(A2068,'Data pick slip'!B:F,5,FALSE)</f>
        <v>KHJ-MC100-00</v>
      </c>
      <c r="F2068" s="157" t="s">
        <v>290</v>
      </c>
      <c r="I2068" s="139" t="s">
        <v>617</v>
      </c>
      <c r="J2068" s="139" t="s">
        <v>814</v>
      </c>
      <c r="K2068" s="51" t="s">
        <v>225</v>
      </c>
      <c r="L2068" s="4">
        <v>44000</v>
      </c>
      <c r="M2068" s="140">
        <v>2</v>
      </c>
      <c r="P2068" s="4" t="s">
        <v>214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264</v>
      </c>
      <c r="B2069" s="114" t="str">
        <f>VLOOKUP(A2069,'Data pick slip'!B:F,5,FALSE)</f>
        <v>KHJ-MC200-00</v>
      </c>
      <c r="F2069" s="157" t="s">
        <v>290</v>
      </c>
      <c r="H2069" s="138">
        <v>665</v>
      </c>
      <c r="I2069" s="139" t="e">
        <f>VLOOKUP(H2069,Stock_list!A:R,18,FALSE)</f>
        <v>#N/A</v>
      </c>
      <c r="J2069" s="139" t="e">
        <f>VLOOKUP(H2069,Stock_list!A:S,17,FALSE)</f>
        <v>#N/A</v>
      </c>
      <c r="K2069" s="51" t="e">
        <f>VLOOKUP(H2069,Stock_list!A:T,16,FALSE)</f>
        <v>#N/A</v>
      </c>
      <c r="L2069" s="4">
        <v>44029</v>
      </c>
      <c r="M2069" s="140">
        <v>1</v>
      </c>
      <c r="P2069" s="4" t="e">
        <f>VLOOKUP(H2069,Stock_list!A:Y,25,FALSE)</f>
        <v>#N/A</v>
      </c>
      <c r="Q2069" s="143"/>
      <c r="T2069" s="144"/>
      <c r="U2069" s="145" t="e">
        <f>VLOOKUP(H2069,Stock_list!A:N,14,FALSE)</f>
        <v>#N/A</v>
      </c>
    </row>
    <row r="2070" spans="1:21" ht="16.5" customHeight="1">
      <c r="A2070" s="159" t="s">
        <v>273</v>
      </c>
      <c r="B2070" s="114" t="str">
        <f>VLOOKUP(A2070,'Data pick slip'!B:F,5,FALSE)</f>
        <v>KLJ-MC200-00</v>
      </c>
      <c r="F2070" s="157" t="s">
        <v>290</v>
      </c>
      <c r="I2070" s="139" t="s">
        <v>611</v>
      </c>
      <c r="J2070" s="139" t="s">
        <v>815</v>
      </c>
      <c r="K2070" s="51" t="s">
        <v>225</v>
      </c>
      <c r="L2070" s="4">
        <v>44001</v>
      </c>
      <c r="M2070" s="140">
        <v>5</v>
      </c>
      <c r="P2070" s="4" t="s">
        <v>214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265</v>
      </c>
      <c r="B2071" s="114" t="str">
        <f>VLOOKUP(A2071,'Data pick slip'!B:F,5,FALSE)</f>
        <v>KHJ-MC400-00</v>
      </c>
      <c r="F2071" s="157" t="s">
        <v>290</v>
      </c>
      <c r="I2071" s="139" t="s">
        <v>611</v>
      </c>
      <c r="J2071" s="139" t="s">
        <v>815</v>
      </c>
      <c r="K2071" s="51" t="s">
        <v>225</v>
      </c>
      <c r="L2071" s="4">
        <v>44001</v>
      </c>
      <c r="M2071" s="140">
        <v>2</v>
      </c>
      <c r="P2071" s="4" t="s">
        <v>214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261</v>
      </c>
      <c r="B2072" s="114" t="str">
        <f>VLOOKUP(A2072,'Data pick slip'!B:F,5,FALSE)</f>
        <v>KHJ-MC100-00</v>
      </c>
      <c r="F2072" s="157" t="s">
        <v>379</v>
      </c>
      <c r="H2072" s="138">
        <v>666</v>
      </c>
      <c r="I2072" s="139" t="e">
        <f>VLOOKUP(H2072,Stock_list!A:R,18,FALSE)</f>
        <v>#N/A</v>
      </c>
      <c r="J2072" s="139" t="e">
        <f>VLOOKUP(H2072,Stock_list!A:S,17,FALSE)</f>
        <v>#N/A</v>
      </c>
      <c r="K2072" s="51" t="e">
        <f>VLOOKUP(H2072,Stock_list!A:T,16,FALSE)</f>
        <v>#N/A</v>
      </c>
      <c r="L2072" s="4">
        <v>44014</v>
      </c>
      <c r="M2072" s="132">
        <v>20</v>
      </c>
      <c r="P2072" s="4" t="e">
        <f>VLOOKUP(H2072,Stock_list!A:Y,25,FALSE)</f>
        <v>#N/A</v>
      </c>
      <c r="Q2072" s="143"/>
      <c r="T2072" s="144"/>
      <c r="U2072" s="145" t="e">
        <f>VLOOKUP(H2072,Stock_list!A:N,14,FALSE)</f>
        <v>#N/A</v>
      </c>
    </row>
    <row r="2073" spans="1:21" ht="16.5" customHeight="1">
      <c r="A2073" s="159" t="s">
        <v>264</v>
      </c>
      <c r="B2073" s="114" t="str">
        <f>VLOOKUP(A2073,'Data pick slip'!B:F,5,FALSE)</f>
        <v>KHJ-MC200-00</v>
      </c>
      <c r="F2073" s="157" t="s">
        <v>379</v>
      </c>
      <c r="H2073" s="138">
        <v>666</v>
      </c>
      <c r="I2073" s="139" t="e">
        <f>VLOOKUP(H2073,Stock_list!A:R,18,FALSE)</f>
        <v>#N/A</v>
      </c>
      <c r="J2073" s="139" t="e">
        <f>VLOOKUP(H2073,Stock_list!A:S,17,FALSE)</f>
        <v>#N/A</v>
      </c>
      <c r="K2073" s="51" t="e">
        <f>VLOOKUP(H2073,Stock_list!A:T,16,FALSE)</f>
        <v>#N/A</v>
      </c>
      <c r="L2073" s="4">
        <v>44014</v>
      </c>
      <c r="M2073" s="132">
        <v>2</v>
      </c>
      <c r="P2073" s="4" t="e">
        <f>VLOOKUP(H2073,Stock_list!A:Y,25,FALSE)</f>
        <v>#N/A</v>
      </c>
      <c r="Q2073" s="143"/>
      <c r="T2073" s="144"/>
      <c r="U2073" s="145" t="e">
        <f>VLOOKUP(H2073,Stock_list!A:N,14,FALSE)</f>
        <v>#N/A</v>
      </c>
    </row>
    <row r="2074" spans="1:21" ht="16.5" customHeight="1">
      <c r="A2074" s="159" t="s">
        <v>261</v>
      </c>
      <c r="B2074" s="114" t="str">
        <f>VLOOKUP(A2074,'Data pick slip'!B:F,5,FALSE)</f>
        <v>KHJ-MC100-00</v>
      </c>
      <c r="F2074" s="157" t="s">
        <v>290</v>
      </c>
      <c r="I2074" s="139" t="s">
        <v>617</v>
      </c>
      <c r="J2074" s="139" t="s">
        <v>816</v>
      </c>
      <c r="K2074" s="51" t="s">
        <v>225</v>
      </c>
      <c r="L2074" s="4">
        <v>44001</v>
      </c>
      <c r="M2074" s="140">
        <v>1</v>
      </c>
      <c r="P2074" s="4" t="s">
        <v>214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264</v>
      </c>
      <c r="B2075" s="114" t="str">
        <f>VLOOKUP(A2075,'Data pick slip'!B:F,5,FALSE)</f>
        <v>KHJ-MC200-00</v>
      </c>
      <c r="F2075" s="157" t="s">
        <v>290</v>
      </c>
      <c r="I2075" s="139" t="s">
        <v>617</v>
      </c>
      <c r="J2075" s="139" t="s">
        <v>816</v>
      </c>
      <c r="K2075" s="51" t="s">
        <v>225</v>
      </c>
      <c r="L2075" s="4">
        <v>44001</v>
      </c>
      <c r="M2075" s="140">
        <v>1</v>
      </c>
      <c r="P2075" s="4" t="s">
        <v>214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266</v>
      </c>
      <c r="B2076" s="114" t="str">
        <f>VLOOKUP(A2076,'Data pick slip'!B:F,5,FALSE)</f>
        <v>KHJ-MC500-00</v>
      </c>
      <c r="F2076" s="157" t="s">
        <v>290</v>
      </c>
      <c r="I2076" s="139" t="s">
        <v>617</v>
      </c>
      <c r="J2076" s="139" t="s">
        <v>813</v>
      </c>
      <c r="K2076" s="51" t="s">
        <v>225</v>
      </c>
      <c r="L2076" s="4">
        <v>43994</v>
      </c>
      <c r="M2076" s="140">
        <v>1</v>
      </c>
      <c r="P2076" s="4" t="s">
        <v>214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265</v>
      </c>
      <c r="B2077" s="114" t="str">
        <f>VLOOKUP(A2077,'Data pick slip'!B:F,5,FALSE)</f>
        <v>KHJ-MC400-00</v>
      </c>
      <c r="F2077" s="157" t="s">
        <v>290</v>
      </c>
      <c r="I2077" s="139" t="s">
        <v>617</v>
      </c>
      <c r="J2077" s="139" t="s">
        <v>817</v>
      </c>
      <c r="K2077" s="51" t="s">
        <v>225</v>
      </c>
      <c r="L2077" s="4">
        <v>44004</v>
      </c>
      <c r="M2077" s="140">
        <v>5</v>
      </c>
      <c r="P2077" s="4" t="s">
        <v>214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265</v>
      </c>
      <c r="B2078" s="114" t="str">
        <f>VLOOKUP(A2078,'Data pick slip'!B:F,5,FALSE)</f>
        <v>KHJ-MC400-00</v>
      </c>
      <c r="F2078" s="157" t="s">
        <v>290</v>
      </c>
      <c r="I2078" s="139" t="s">
        <v>617</v>
      </c>
      <c r="J2078" s="139" t="s">
        <v>817</v>
      </c>
      <c r="K2078" s="51" t="s">
        <v>225</v>
      </c>
      <c r="L2078" s="4">
        <v>44010</v>
      </c>
      <c r="M2078" s="140">
        <v>5</v>
      </c>
      <c r="P2078" s="4" t="s">
        <v>214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266</v>
      </c>
      <c r="B2079" s="114" t="str">
        <f>VLOOKUP(A2079,'Data pick slip'!B:F,5,FALSE)</f>
        <v>KHJ-MC500-00</v>
      </c>
      <c r="F2079" s="157" t="s">
        <v>290</v>
      </c>
      <c r="I2079" s="139" t="s">
        <v>804</v>
      </c>
      <c r="J2079" s="139" t="s">
        <v>818</v>
      </c>
      <c r="K2079" s="51" t="s">
        <v>225</v>
      </c>
      <c r="L2079" s="4">
        <v>44001</v>
      </c>
      <c r="M2079" s="140">
        <v>1</v>
      </c>
      <c r="P2079" s="4" t="s">
        <v>214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267</v>
      </c>
      <c r="B2080" s="114" t="str">
        <f>VLOOKUP(A2080,'Data pick slip'!B:F,5,FALSE)</f>
        <v>KHJ-MC600-00</v>
      </c>
      <c r="F2080" s="157" t="s">
        <v>290</v>
      </c>
      <c r="I2080" s="139" t="s">
        <v>804</v>
      </c>
      <c r="J2080" s="139" t="s">
        <v>818</v>
      </c>
      <c r="K2080" s="51" t="s">
        <v>225</v>
      </c>
      <c r="L2080" s="4">
        <v>44001</v>
      </c>
      <c r="M2080" s="140">
        <v>1</v>
      </c>
      <c r="P2080" s="4" t="s">
        <v>214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272</v>
      </c>
      <c r="B2081" s="114" t="str">
        <f>VLOOKUP(A2081,'Data pick slip'!B:F,5,FALSE)</f>
        <v>KLJ-MC100-00</v>
      </c>
      <c r="F2081" s="157" t="s">
        <v>290</v>
      </c>
      <c r="H2081" s="138">
        <v>667</v>
      </c>
      <c r="I2081" s="139" t="e">
        <f>VLOOKUP(H2081,Stock_list!A:R,18,FALSE)</f>
        <v>#N/A</v>
      </c>
      <c r="J2081" s="139" t="e">
        <f>VLOOKUP(H2081,Stock_list!A:S,17,FALSE)</f>
        <v>#N/A</v>
      </c>
      <c r="K2081" s="51" t="e">
        <f>VLOOKUP(H2081,Stock_list!A:T,16,FALSE)</f>
        <v>#N/A</v>
      </c>
      <c r="L2081" s="4">
        <v>44035</v>
      </c>
      <c r="M2081" s="132">
        <v>30</v>
      </c>
      <c r="P2081" s="4" t="e">
        <f>VLOOKUP(H2081,Stock_list!A:Y,25,FALSE)</f>
        <v>#N/A</v>
      </c>
      <c r="Q2081" s="143"/>
      <c r="T2081" s="144"/>
      <c r="U2081" s="145" t="e">
        <f>VLOOKUP(H2081,Stock_list!A:N,14,FALSE)</f>
        <v>#N/A</v>
      </c>
    </row>
    <row r="2082" spans="1:21" ht="16.5" customHeight="1">
      <c r="A2082" s="159" t="s">
        <v>264</v>
      </c>
      <c r="B2082" s="114" t="str">
        <f>VLOOKUP(A2082,'Data pick slip'!B:F,5,FALSE)</f>
        <v>KHJ-MC200-00</v>
      </c>
      <c r="F2082" s="157" t="s">
        <v>290</v>
      </c>
      <c r="H2082" s="138">
        <v>667</v>
      </c>
      <c r="I2082" s="139" t="e">
        <f>VLOOKUP(H2082,Stock_list!A:R,18,FALSE)</f>
        <v>#N/A</v>
      </c>
      <c r="J2082" s="139" t="e">
        <f>VLOOKUP(H2082,Stock_list!A:S,17,FALSE)</f>
        <v>#N/A</v>
      </c>
      <c r="K2082" s="51" t="e">
        <f>VLOOKUP(H2082,Stock_list!A:T,16,FALSE)</f>
        <v>#N/A</v>
      </c>
      <c r="L2082" s="4">
        <v>44035</v>
      </c>
      <c r="M2082" s="132">
        <v>15</v>
      </c>
      <c r="P2082" s="4" t="e">
        <f>VLOOKUP(H2082,Stock_list!A:Y,25,FALSE)</f>
        <v>#N/A</v>
      </c>
      <c r="Q2082" s="143"/>
      <c r="T2082" s="144"/>
      <c r="U2082" s="145" t="e">
        <f>VLOOKUP(H2082,Stock_list!A:N,14,FALSE)</f>
        <v>#N/A</v>
      </c>
    </row>
    <row r="2083" spans="1:21" ht="16.5" customHeight="1">
      <c r="A2083" s="159" t="s">
        <v>265</v>
      </c>
      <c r="B2083" s="114" t="str">
        <f>VLOOKUP(A2083,'Data pick slip'!B:F,5,FALSE)</f>
        <v>KHJ-MC400-00</v>
      </c>
      <c r="F2083" s="157" t="s">
        <v>290</v>
      </c>
      <c r="H2083" s="138">
        <v>667</v>
      </c>
      <c r="I2083" s="139" t="e">
        <f>VLOOKUP(H2083,Stock_list!A:R,18,FALSE)</f>
        <v>#N/A</v>
      </c>
      <c r="J2083" s="139" t="e">
        <f>VLOOKUP(H2083,Stock_list!A:S,17,FALSE)</f>
        <v>#N/A</v>
      </c>
      <c r="K2083" s="51" t="e">
        <f>VLOOKUP(H2083,Stock_list!A:T,16,FALSE)</f>
        <v>#N/A</v>
      </c>
      <c r="L2083" s="4">
        <v>44035</v>
      </c>
      <c r="M2083" s="132">
        <v>5</v>
      </c>
      <c r="P2083" s="4" t="e">
        <f>VLOOKUP(H2083,Stock_list!A:Y,25,FALSE)</f>
        <v>#N/A</v>
      </c>
      <c r="Q2083" s="143"/>
      <c r="T2083" s="144"/>
      <c r="U2083" s="145" t="e">
        <f>VLOOKUP(H2083,Stock_list!A:N,14,FALSE)</f>
        <v>#N/A</v>
      </c>
    </row>
    <row r="2084" spans="1:21" ht="16.5" customHeight="1">
      <c r="A2084" s="159" t="s">
        <v>268</v>
      </c>
      <c r="B2084" s="114" t="str">
        <f>VLOOKUP(A2084,'Data pick slip'!B:F,5,FALSE)</f>
        <v>KHJ-MC700-00</v>
      </c>
      <c r="F2084" s="157" t="s">
        <v>290</v>
      </c>
      <c r="I2084" s="139" t="s">
        <v>617</v>
      </c>
      <c r="J2084" s="139" t="s">
        <v>819</v>
      </c>
      <c r="K2084" s="51" t="s">
        <v>225</v>
      </c>
      <c r="L2084" s="4">
        <v>44005</v>
      </c>
      <c r="M2084" s="140">
        <v>1</v>
      </c>
      <c r="P2084" s="4" t="s">
        <v>214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272</v>
      </c>
      <c r="B2085" s="114" t="str">
        <f>VLOOKUP(A2085,'Data pick slip'!B:F,5,FALSE)</f>
        <v>KLJ-MC100-00</v>
      </c>
      <c r="F2085" s="157" t="s">
        <v>290</v>
      </c>
      <c r="H2085" s="138">
        <v>670</v>
      </c>
      <c r="I2085" s="139" t="e">
        <f>VLOOKUP(H2085,Stock_list!A:R,18,FALSE)</f>
        <v>#N/A</v>
      </c>
      <c r="J2085" s="139" t="e">
        <f>VLOOKUP(H2085,Stock_list!A:S,17,FALSE)</f>
        <v>#N/A</v>
      </c>
      <c r="K2085" s="51" t="e">
        <f>VLOOKUP(H2085,Stock_list!A:T,16,FALSE)</f>
        <v>#N/A</v>
      </c>
      <c r="L2085" s="4">
        <v>44033</v>
      </c>
      <c r="M2085" s="132">
        <v>15</v>
      </c>
      <c r="P2085" s="4" t="e">
        <f>VLOOKUP(H2085,Stock_list!A:Y,25,FALSE)</f>
        <v>#N/A</v>
      </c>
      <c r="Q2085" s="143"/>
      <c r="T2085" s="144"/>
      <c r="U2085" s="145" t="e">
        <f>VLOOKUP(H2085,Stock_list!A:N,14,FALSE)</f>
        <v>#N/A</v>
      </c>
    </row>
    <row r="2086" spans="1:21" ht="16.5" customHeight="1">
      <c r="A2086" s="159" t="s">
        <v>261</v>
      </c>
      <c r="B2086" s="114" t="str">
        <f>VLOOKUP(A2086,'Data pick slip'!B:F,5,FALSE)</f>
        <v>KHJ-MC100-00</v>
      </c>
      <c r="F2086" s="157" t="s">
        <v>379</v>
      </c>
      <c r="H2086" s="138">
        <v>672</v>
      </c>
      <c r="I2086" s="139" t="e">
        <f>VLOOKUP(H2086,Stock_list!A:R,18,FALSE)</f>
        <v>#N/A</v>
      </c>
      <c r="J2086" s="139" t="e">
        <f>VLOOKUP(H2086,Stock_list!A:S,17,FALSE)</f>
        <v>#N/A</v>
      </c>
      <c r="K2086" s="51" t="e">
        <f>VLOOKUP(H2086,Stock_list!A:T,16,FALSE)</f>
        <v>#N/A</v>
      </c>
      <c r="L2086" s="4">
        <v>44014</v>
      </c>
      <c r="M2086" s="132">
        <v>60</v>
      </c>
      <c r="P2086" s="4" t="e">
        <f>VLOOKUP(H2086,Stock_list!A:Y,25,FALSE)</f>
        <v>#N/A</v>
      </c>
      <c r="Q2086" s="143"/>
      <c r="T2086" s="144"/>
      <c r="U2086" s="145" t="e">
        <f>VLOOKUP(H2086,Stock_list!A:N,14,FALSE)</f>
        <v>#N/A</v>
      </c>
    </row>
    <row r="2087" spans="1:21" ht="16.5" customHeight="1">
      <c r="A2087" s="159" t="s">
        <v>264</v>
      </c>
      <c r="B2087" s="114" t="str">
        <f>VLOOKUP(A2087,'Data pick slip'!B:F,5,FALSE)</f>
        <v>KHJ-MC200-00</v>
      </c>
      <c r="F2087" s="157" t="s">
        <v>379</v>
      </c>
      <c r="H2087" s="138">
        <v>672</v>
      </c>
      <c r="I2087" s="139" t="e">
        <f>VLOOKUP(H2087,Stock_list!A:R,18,FALSE)</f>
        <v>#N/A</v>
      </c>
      <c r="J2087" s="139" t="e">
        <f>VLOOKUP(H2087,Stock_list!A:S,17,FALSE)</f>
        <v>#N/A</v>
      </c>
      <c r="K2087" s="51" t="e">
        <f>VLOOKUP(H2087,Stock_list!A:T,16,FALSE)</f>
        <v>#N/A</v>
      </c>
      <c r="L2087" s="4">
        <v>44014</v>
      </c>
      <c r="M2087" s="132">
        <v>5</v>
      </c>
      <c r="P2087" s="4" t="e">
        <f>VLOOKUP(H2087,Stock_list!A:Y,25,FALSE)</f>
        <v>#N/A</v>
      </c>
      <c r="Q2087" s="143"/>
      <c r="T2087" s="144"/>
      <c r="U2087" s="145" t="e">
        <f>VLOOKUP(H2087,Stock_list!A:N,14,FALSE)</f>
        <v>#N/A</v>
      </c>
    </row>
    <row r="2088" spans="1:21" ht="16.5" customHeight="1">
      <c r="A2088" s="159" t="s">
        <v>265</v>
      </c>
      <c r="B2088" s="114" t="str">
        <f>VLOOKUP(A2088,'Data pick slip'!B:F,5,FALSE)</f>
        <v>KHJ-MC400-00</v>
      </c>
      <c r="F2088" s="157" t="s">
        <v>379</v>
      </c>
      <c r="H2088" s="138">
        <v>672</v>
      </c>
      <c r="I2088" s="139" t="e">
        <f>VLOOKUP(H2088,Stock_list!A:R,18,FALSE)</f>
        <v>#N/A</v>
      </c>
      <c r="J2088" s="139" t="e">
        <f>VLOOKUP(H2088,Stock_list!A:S,17,FALSE)</f>
        <v>#N/A</v>
      </c>
      <c r="K2088" s="51" t="e">
        <f>VLOOKUP(H2088,Stock_list!A:T,16,FALSE)</f>
        <v>#N/A</v>
      </c>
      <c r="L2088" s="4">
        <v>44014</v>
      </c>
      <c r="M2088" s="132">
        <v>3</v>
      </c>
      <c r="P2088" s="4" t="e">
        <f>VLOOKUP(H2088,Stock_list!A:Y,25,FALSE)</f>
        <v>#N/A</v>
      </c>
      <c r="Q2088" s="143"/>
      <c r="T2088" s="144"/>
      <c r="U2088" s="145" t="e">
        <f>VLOOKUP(H2088,Stock_list!A:N,14,FALSE)</f>
        <v>#N/A</v>
      </c>
    </row>
    <row r="2089" spans="1:21" ht="16.5" customHeight="1">
      <c r="A2089" s="159" t="s">
        <v>266</v>
      </c>
      <c r="B2089" s="114" t="str">
        <f>VLOOKUP(A2089,'Data pick slip'!B:F,5,FALSE)</f>
        <v>KHJ-MC500-00</v>
      </c>
      <c r="F2089" s="157" t="s">
        <v>379</v>
      </c>
      <c r="H2089" s="138">
        <v>672</v>
      </c>
      <c r="I2089" s="139" t="e">
        <f>VLOOKUP(H2089,Stock_list!A:R,18,FALSE)</f>
        <v>#N/A</v>
      </c>
      <c r="J2089" s="139" t="e">
        <f>VLOOKUP(H2089,Stock_list!A:S,17,FALSE)</f>
        <v>#N/A</v>
      </c>
      <c r="K2089" s="51" t="e">
        <f>VLOOKUP(H2089,Stock_list!A:T,16,FALSE)</f>
        <v>#N/A</v>
      </c>
      <c r="L2089" s="4">
        <v>44014</v>
      </c>
      <c r="M2089" s="132">
        <v>2</v>
      </c>
      <c r="P2089" s="4" t="e">
        <f>VLOOKUP(H2089,Stock_list!A:Y,25,FALSE)</f>
        <v>#N/A</v>
      </c>
      <c r="Q2089" s="143"/>
      <c r="T2089" s="144"/>
      <c r="U2089" s="145" t="e">
        <f>VLOOKUP(H2089,Stock_list!A:N,14,FALSE)</f>
        <v>#N/A</v>
      </c>
    </row>
    <row r="2090" spans="1:21" ht="16.5" customHeight="1">
      <c r="A2090" s="159" t="s">
        <v>261</v>
      </c>
      <c r="B2090" s="114" t="str">
        <f>VLOOKUP(A2090,'Data pick slip'!B:F,5,FALSE)</f>
        <v>KHJ-MC100-00</v>
      </c>
      <c r="F2090" s="157" t="s">
        <v>290</v>
      </c>
      <c r="H2090" s="138">
        <v>673</v>
      </c>
      <c r="I2090" s="139" t="e">
        <f>VLOOKUP(H2090,Stock_list!A:R,18,FALSE)</f>
        <v>#N/A</v>
      </c>
      <c r="J2090" s="139" t="e">
        <f>VLOOKUP(H2090,Stock_list!A:S,17,FALSE)</f>
        <v>#N/A</v>
      </c>
      <c r="K2090" s="51" t="e">
        <f>VLOOKUP(H2090,Stock_list!A:T,16,FALSE)</f>
        <v>#N/A</v>
      </c>
      <c r="L2090" s="4">
        <v>44047</v>
      </c>
      <c r="M2090" s="132">
        <v>80</v>
      </c>
      <c r="P2090" s="4" t="e">
        <f>VLOOKUP(H2090,Stock_list!A:Y,25,FALSE)</f>
        <v>#N/A</v>
      </c>
      <c r="Q2090" s="143"/>
      <c r="T2090" s="144"/>
      <c r="U2090" s="145" t="e">
        <f>VLOOKUP(H2090,Stock_list!A:N,14,FALSE)</f>
        <v>#N/A</v>
      </c>
    </row>
    <row r="2091" spans="1:21" ht="16.5" customHeight="1">
      <c r="A2091" s="159" t="s">
        <v>264</v>
      </c>
      <c r="B2091" s="114" t="str">
        <f>VLOOKUP(A2091,'Data pick slip'!B:F,5,FALSE)</f>
        <v>KHJ-MC200-00</v>
      </c>
      <c r="F2091" s="157" t="s">
        <v>290</v>
      </c>
      <c r="H2091" s="138">
        <v>673</v>
      </c>
      <c r="I2091" s="139" t="e">
        <f>VLOOKUP(H2091,Stock_list!A:R,18,FALSE)</f>
        <v>#N/A</v>
      </c>
      <c r="J2091" s="139" t="e">
        <f>VLOOKUP(H2091,Stock_list!A:S,17,FALSE)</f>
        <v>#N/A</v>
      </c>
      <c r="K2091" s="51" t="e">
        <f>VLOOKUP(H2091,Stock_list!A:T,16,FALSE)</f>
        <v>#N/A</v>
      </c>
      <c r="L2091" s="4">
        <v>44047</v>
      </c>
      <c r="M2091" s="132">
        <v>10</v>
      </c>
      <c r="P2091" s="4" t="e">
        <f>VLOOKUP(H2091,Stock_list!A:Y,25,FALSE)</f>
        <v>#N/A</v>
      </c>
      <c r="Q2091" s="143"/>
      <c r="T2091" s="144"/>
      <c r="U2091" s="145" t="e">
        <f>VLOOKUP(H2091,Stock_list!A:N,14,FALSE)</f>
        <v>#N/A</v>
      </c>
    </row>
    <row r="2092" spans="1:21" ht="16.5" customHeight="1">
      <c r="A2092" s="159" t="s">
        <v>265</v>
      </c>
      <c r="B2092" s="114" t="str">
        <f>VLOOKUP(A2092,'Data pick slip'!B:F,5,FALSE)</f>
        <v>KHJ-MC400-00</v>
      </c>
      <c r="F2092" s="157" t="s">
        <v>290</v>
      </c>
      <c r="H2092" s="138">
        <v>673</v>
      </c>
      <c r="I2092" s="139" t="e">
        <f>VLOOKUP(H2092,Stock_list!A:R,18,FALSE)</f>
        <v>#N/A</v>
      </c>
      <c r="J2092" s="139" t="e">
        <f>VLOOKUP(H2092,Stock_list!A:S,17,FALSE)</f>
        <v>#N/A</v>
      </c>
      <c r="K2092" s="51" t="e">
        <f>VLOOKUP(H2092,Stock_list!A:T,16,FALSE)</f>
        <v>#N/A</v>
      </c>
      <c r="L2092" s="4">
        <v>44047</v>
      </c>
      <c r="M2092" s="132">
        <v>4</v>
      </c>
      <c r="P2092" s="4" t="e">
        <f>VLOOKUP(H2092,Stock_list!A:Y,25,FALSE)</f>
        <v>#N/A</v>
      </c>
      <c r="Q2092" s="143"/>
      <c r="T2092" s="144"/>
      <c r="U2092" s="145" t="e">
        <f>VLOOKUP(H2092,Stock_list!A:N,14,FALSE)</f>
        <v>#N/A</v>
      </c>
    </row>
    <row r="2093" spans="1:21" ht="16.5" customHeight="1">
      <c r="A2093" s="159" t="s">
        <v>266</v>
      </c>
      <c r="B2093" s="114" t="str">
        <f>VLOOKUP(A2093,'Data pick slip'!B:F,5,FALSE)</f>
        <v>KHJ-MC500-00</v>
      </c>
      <c r="F2093" s="157" t="s">
        <v>290</v>
      </c>
      <c r="H2093" s="138">
        <v>673</v>
      </c>
      <c r="I2093" s="139" t="e">
        <f>VLOOKUP(H2093,Stock_list!A:R,18,FALSE)</f>
        <v>#N/A</v>
      </c>
      <c r="J2093" s="139" t="e">
        <f>VLOOKUP(H2093,Stock_list!A:S,17,FALSE)</f>
        <v>#N/A</v>
      </c>
      <c r="K2093" s="51" t="e">
        <f>VLOOKUP(H2093,Stock_list!A:T,16,FALSE)</f>
        <v>#N/A</v>
      </c>
      <c r="L2093" s="4">
        <v>44047</v>
      </c>
      <c r="M2093" s="132">
        <v>1</v>
      </c>
      <c r="P2093" s="4" t="e">
        <f>VLOOKUP(H2093,Stock_list!A:Y,25,FALSE)</f>
        <v>#N/A</v>
      </c>
      <c r="Q2093" s="143"/>
      <c r="T2093" s="144"/>
      <c r="U2093" s="145" t="e">
        <f>VLOOKUP(H2093,Stock_list!A:N,14,FALSE)</f>
        <v>#N/A</v>
      </c>
    </row>
    <row r="2094" spans="1:21" ht="16.5" customHeight="1">
      <c r="A2094" s="159" t="s">
        <v>267</v>
      </c>
      <c r="B2094" s="114" t="str">
        <f>VLOOKUP(A2094,'Data pick slip'!B:F,5,FALSE)</f>
        <v>KHJ-MC600-00</v>
      </c>
      <c r="F2094" s="157" t="s">
        <v>290</v>
      </c>
      <c r="H2094" s="138">
        <v>673</v>
      </c>
      <c r="I2094" s="139" t="e">
        <f>VLOOKUP(H2094,Stock_list!A:R,18,FALSE)</f>
        <v>#N/A</v>
      </c>
      <c r="J2094" s="139" t="e">
        <f>VLOOKUP(H2094,Stock_list!A:S,17,FALSE)</f>
        <v>#N/A</v>
      </c>
      <c r="K2094" s="51" t="e">
        <f>VLOOKUP(H2094,Stock_list!A:T,16,FALSE)</f>
        <v>#N/A</v>
      </c>
      <c r="L2094" s="4">
        <v>44047</v>
      </c>
      <c r="M2094" s="132">
        <v>1</v>
      </c>
      <c r="P2094" s="4" t="e">
        <f>VLOOKUP(H2094,Stock_list!A:Y,25,FALSE)</f>
        <v>#N/A</v>
      </c>
      <c r="Q2094" s="143"/>
      <c r="T2094" s="144"/>
      <c r="U2094" s="145" t="e">
        <f>VLOOKUP(H2094,Stock_list!A:N,14,FALSE)</f>
        <v>#N/A</v>
      </c>
    </row>
    <row r="2095" spans="1:21" ht="16.5" customHeight="1">
      <c r="A2095" s="159" t="s">
        <v>271</v>
      </c>
      <c r="B2095" s="114" t="str">
        <f>VLOOKUP(A2095,'Data pick slip'!B:F,5,FALSE)</f>
        <v>KLJ-MCN00-20</v>
      </c>
      <c r="F2095" s="157" t="s">
        <v>379</v>
      </c>
      <c r="H2095" s="138">
        <v>675</v>
      </c>
      <c r="I2095" s="139" t="e">
        <f>VLOOKUP(H2095,Stock_list!A:R,18,FALSE)</f>
        <v>#N/A</v>
      </c>
      <c r="J2095" s="139" t="e">
        <f>VLOOKUP(H2095,Stock_list!A:S,17,FALSE)</f>
        <v>#N/A</v>
      </c>
      <c r="K2095" s="51" t="e">
        <f>VLOOKUP(H2095,Stock_list!A:T,16,FALSE)</f>
        <v>#N/A</v>
      </c>
      <c r="L2095" s="4">
        <v>44035</v>
      </c>
      <c r="M2095" s="132">
        <v>2</v>
      </c>
      <c r="P2095" s="4" t="e">
        <f>VLOOKUP(H2095,Stock_list!A:Y,25,FALSE)</f>
        <v>#N/A</v>
      </c>
      <c r="Q2095" s="143"/>
      <c r="T2095" s="144"/>
      <c r="U2095" s="145" t="e">
        <f>VLOOKUP(H2095,Stock_list!A:N,14,FALSE)</f>
        <v>#N/A</v>
      </c>
    </row>
    <row r="2096" spans="1:21" ht="16.5" customHeight="1">
      <c r="A2096" s="159" t="s">
        <v>261</v>
      </c>
      <c r="B2096" s="114" t="str">
        <f>VLOOKUP(A2096,'Data pick slip'!B:F,5,FALSE)</f>
        <v>KHJ-MC100-00</v>
      </c>
      <c r="F2096" s="157" t="s">
        <v>290</v>
      </c>
      <c r="H2096" s="138">
        <v>679</v>
      </c>
      <c r="I2096" s="139" t="e">
        <f>VLOOKUP(H2096,Stock_list!A:R,18,FALSE)</f>
        <v>#N/A</v>
      </c>
      <c r="J2096" s="139" t="e">
        <f>VLOOKUP(H2096,Stock_list!A:S,17,FALSE)</f>
        <v>#N/A</v>
      </c>
      <c r="K2096" s="51" t="e">
        <f>VLOOKUP(H2096,Stock_list!A:T,16,FALSE)</f>
        <v>#N/A</v>
      </c>
      <c r="L2096" s="4">
        <v>44041</v>
      </c>
      <c r="M2096" s="132">
        <v>22</v>
      </c>
      <c r="P2096" s="4" t="e">
        <f>VLOOKUP(H2096,Stock_list!A:Y,25,FALSE)</f>
        <v>#N/A</v>
      </c>
      <c r="Q2096" s="143"/>
      <c r="T2096" s="144"/>
      <c r="U2096" s="145" t="e">
        <f>VLOOKUP(H2096,Stock_list!A:N,14,FALSE)</f>
        <v>#N/A</v>
      </c>
    </row>
    <row r="2097" spans="1:21" ht="16.5" customHeight="1">
      <c r="A2097" s="159" t="s">
        <v>264</v>
      </c>
      <c r="B2097" s="114" t="str">
        <f>VLOOKUP(A2097,'Data pick slip'!B:F,5,FALSE)</f>
        <v>KHJ-MC200-00</v>
      </c>
      <c r="F2097" s="157" t="s">
        <v>290</v>
      </c>
      <c r="H2097" s="138">
        <v>679</v>
      </c>
      <c r="I2097" s="139" t="e">
        <f>VLOOKUP(H2097,Stock_list!A:R,18,FALSE)</f>
        <v>#N/A</v>
      </c>
      <c r="J2097" s="139" t="e">
        <f>VLOOKUP(H2097,Stock_list!A:S,17,FALSE)</f>
        <v>#N/A</v>
      </c>
      <c r="K2097" s="51" t="e">
        <f>VLOOKUP(H2097,Stock_list!A:T,16,FALSE)</f>
        <v>#N/A</v>
      </c>
      <c r="L2097" s="4">
        <v>44041</v>
      </c>
      <c r="M2097" s="132">
        <v>10</v>
      </c>
      <c r="P2097" s="4" t="e">
        <f>VLOOKUP(H2097,Stock_list!A:Y,25,FALSE)</f>
        <v>#N/A</v>
      </c>
      <c r="Q2097" s="143"/>
      <c r="T2097" s="144"/>
      <c r="U2097" s="145" t="e">
        <f>VLOOKUP(H2097,Stock_list!A:N,14,FALSE)</f>
        <v>#N/A</v>
      </c>
    </row>
    <row r="2098" spans="1:21" ht="16.5" customHeight="1">
      <c r="A2098" s="159" t="s">
        <v>265</v>
      </c>
      <c r="B2098" s="114" t="str">
        <f>VLOOKUP(A2098,'Data pick slip'!B:F,5,FALSE)</f>
        <v>KHJ-MC400-00</v>
      </c>
      <c r="F2098" s="157" t="s">
        <v>290</v>
      </c>
      <c r="H2098" s="138">
        <v>679</v>
      </c>
      <c r="I2098" s="139" t="e">
        <f>VLOOKUP(H2098,Stock_list!A:R,18,FALSE)</f>
        <v>#N/A</v>
      </c>
      <c r="J2098" s="139" t="e">
        <f>VLOOKUP(H2098,Stock_list!A:S,17,FALSE)</f>
        <v>#N/A</v>
      </c>
      <c r="K2098" s="51" t="e">
        <f>VLOOKUP(H2098,Stock_list!A:T,16,FALSE)</f>
        <v>#N/A</v>
      </c>
      <c r="L2098" s="4">
        <v>44028</v>
      </c>
      <c r="M2098" s="140">
        <v>2</v>
      </c>
      <c r="P2098" s="4" t="e">
        <f>VLOOKUP(H2098,Stock_list!A:Y,25,FALSE)</f>
        <v>#N/A</v>
      </c>
      <c r="Q2098" s="143"/>
      <c r="T2098" s="144"/>
      <c r="U2098" s="145" t="e">
        <f>VLOOKUP(H2098,Stock_list!A:N,14,FALSE)</f>
        <v>#N/A</v>
      </c>
    </row>
    <row r="2099" spans="1:21" ht="16.5" customHeight="1">
      <c r="A2099" s="159" t="s">
        <v>261</v>
      </c>
      <c r="B2099" s="114" t="str">
        <f>VLOOKUP(A2099,'Data pick slip'!B:F,5,FALSE)</f>
        <v>KHJ-MC100-00</v>
      </c>
      <c r="F2099" s="157" t="s">
        <v>290</v>
      </c>
      <c r="H2099" s="138">
        <v>681</v>
      </c>
      <c r="I2099" s="139" t="e">
        <f>VLOOKUP(H2099,Stock_list!A:R,18,FALSE)</f>
        <v>#N/A</v>
      </c>
      <c r="J2099" s="139" t="e">
        <f>VLOOKUP(H2099,Stock_list!A:S,17,FALSE)</f>
        <v>#N/A</v>
      </c>
      <c r="K2099" s="51" t="e">
        <f>VLOOKUP(H2099,Stock_list!A:T,16,FALSE)</f>
        <v>#N/A</v>
      </c>
      <c r="L2099" s="4">
        <v>44015</v>
      </c>
      <c r="M2099" s="132">
        <v>30</v>
      </c>
      <c r="P2099" s="4" t="e">
        <f>VLOOKUP(H2099,Stock_list!A:Y,25,FALSE)</f>
        <v>#N/A</v>
      </c>
      <c r="Q2099" s="143"/>
      <c r="T2099" s="144"/>
      <c r="U2099" s="145" t="e">
        <f>VLOOKUP(H2099,Stock_list!A:N,14,FALSE)</f>
        <v>#N/A</v>
      </c>
    </row>
    <row r="2100" spans="1:21" ht="16.5" customHeight="1">
      <c r="A2100" s="159" t="s">
        <v>261</v>
      </c>
      <c r="B2100" s="114" t="str">
        <f>VLOOKUP(A2100,'Data pick slip'!B:F,5,FALSE)</f>
        <v>KHJ-MC100-00</v>
      </c>
      <c r="F2100" s="157" t="s">
        <v>379</v>
      </c>
      <c r="H2100" s="138">
        <v>682</v>
      </c>
      <c r="I2100" s="139" t="e">
        <f>VLOOKUP(H2100,Stock_list!A:R,18,FALSE)</f>
        <v>#N/A</v>
      </c>
      <c r="J2100" s="139" t="e">
        <f>VLOOKUP(H2100,Stock_list!A:S,17,FALSE)</f>
        <v>#N/A</v>
      </c>
      <c r="K2100" s="51" t="e">
        <f>VLOOKUP(H2100,Stock_list!A:T,16,FALSE)</f>
        <v>#N/A</v>
      </c>
      <c r="L2100" s="4">
        <v>44016</v>
      </c>
      <c r="M2100" s="132">
        <v>100</v>
      </c>
      <c r="P2100" s="4" t="e">
        <f>VLOOKUP(H2100,Stock_list!A:Y,25,FALSE)</f>
        <v>#N/A</v>
      </c>
      <c r="Q2100" s="143"/>
      <c r="T2100" s="144"/>
      <c r="U2100" s="145" t="e">
        <f>VLOOKUP(H2100,Stock_list!A:N,14,FALSE)</f>
        <v>#N/A</v>
      </c>
    </row>
    <row r="2101" spans="1:21" ht="16.5" customHeight="1">
      <c r="A2101" s="159" t="s">
        <v>264</v>
      </c>
      <c r="B2101" s="114" t="str">
        <f>VLOOKUP(A2101,'Data pick slip'!B:F,5,FALSE)</f>
        <v>KHJ-MC200-00</v>
      </c>
      <c r="F2101" s="157" t="s">
        <v>379</v>
      </c>
      <c r="H2101" s="138">
        <v>682</v>
      </c>
      <c r="I2101" s="139" t="e">
        <f>VLOOKUP(H2101,Stock_list!A:R,18,FALSE)</f>
        <v>#N/A</v>
      </c>
      <c r="J2101" s="139" t="e">
        <f>VLOOKUP(H2101,Stock_list!A:S,17,FALSE)</f>
        <v>#N/A</v>
      </c>
      <c r="K2101" s="51" t="e">
        <f>VLOOKUP(H2101,Stock_list!A:T,16,FALSE)</f>
        <v>#N/A</v>
      </c>
      <c r="L2101" s="4">
        <v>44016</v>
      </c>
      <c r="M2101" s="132">
        <v>30</v>
      </c>
      <c r="P2101" s="4" t="e">
        <f>VLOOKUP(H2101,Stock_list!A:Y,25,FALSE)</f>
        <v>#N/A</v>
      </c>
      <c r="Q2101" s="143"/>
      <c r="T2101" s="144"/>
      <c r="U2101" s="145" t="e">
        <f>VLOOKUP(H2101,Stock_list!A:N,14,FALSE)</f>
        <v>#N/A</v>
      </c>
    </row>
    <row r="2102" spans="1:21" ht="16.5" customHeight="1">
      <c r="A2102" s="159" t="s">
        <v>265</v>
      </c>
      <c r="B2102" s="114" t="str">
        <f>VLOOKUP(A2102,'Data pick slip'!B:F,5,FALSE)</f>
        <v>KHJ-MC400-00</v>
      </c>
      <c r="F2102" s="157" t="s">
        <v>379</v>
      </c>
      <c r="H2102" s="138">
        <v>682</v>
      </c>
      <c r="I2102" s="139" t="e">
        <f>VLOOKUP(H2102,Stock_list!A:R,18,FALSE)</f>
        <v>#N/A</v>
      </c>
      <c r="J2102" s="139" t="e">
        <f>VLOOKUP(H2102,Stock_list!A:S,17,FALSE)</f>
        <v>#N/A</v>
      </c>
      <c r="K2102" s="51" t="e">
        <f>VLOOKUP(H2102,Stock_list!A:T,16,FALSE)</f>
        <v>#N/A</v>
      </c>
      <c r="L2102" s="4">
        <v>44016</v>
      </c>
      <c r="M2102" s="132">
        <v>10</v>
      </c>
      <c r="P2102" s="4" t="e">
        <f>VLOOKUP(H2102,Stock_list!A:Y,25,FALSE)</f>
        <v>#N/A</v>
      </c>
      <c r="Q2102" s="143"/>
      <c r="T2102" s="144"/>
      <c r="U2102" s="145" t="e">
        <f>VLOOKUP(H2102,Stock_list!A:N,14,FALSE)</f>
        <v>#N/A</v>
      </c>
    </row>
    <row r="2103" spans="1:21" ht="16.5" customHeight="1">
      <c r="A2103" s="159" t="s">
        <v>266</v>
      </c>
      <c r="B2103" s="114" t="str">
        <f>VLOOKUP(A2103,'Data pick slip'!B:F,5,FALSE)</f>
        <v>KHJ-MC500-00</v>
      </c>
      <c r="F2103" s="157" t="s">
        <v>379</v>
      </c>
      <c r="H2103" s="138">
        <v>682</v>
      </c>
      <c r="I2103" s="139" t="e">
        <f>VLOOKUP(H2103,Stock_list!A:R,18,FALSE)</f>
        <v>#N/A</v>
      </c>
      <c r="J2103" s="139" t="e">
        <f>VLOOKUP(H2103,Stock_list!A:S,17,FALSE)</f>
        <v>#N/A</v>
      </c>
      <c r="K2103" s="51" t="e">
        <f>VLOOKUP(H2103,Stock_list!A:T,16,FALSE)</f>
        <v>#N/A</v>
      </c>
      <c r="L2103" s="4">
        <v>44016</v>
      </c>
      <c r="M2103" s="132">
        <v>3</v>
      </c>
      <c r="P2103" s="4" t="e">
        <f>VLOOKUP(H2103,Stock_list!A:Y,25,FALSE)</f>
        <v>#N/A</v>
      </c>
      <c r="Q2103" s="143"/>
      <c r="T2103" s="144"/>
      <c r="U2103" s="145" t="e">
        <f>VLOOKUP(H2103,Stock_list!A:N,14,FALSE)</f>
        <v>#N/A</v>
      </c>
    </row>
    <row r="2104" spans="1:21" ht="16.5" customHeight="1">
      <c r="A2104" s="159" t="s">
        <v>261</v>
      </c>
      <c r="B2104" s="114" t="str">
        <f>VLOOKUP(A2104,'Data pick slip'!B:F,5,FALSE)</f>
        <v>KHJ-MC100-00</v>
      </c>
      <c r="F2104" s="157" t="s">
        <v>379</v>
      </c>
      <c r="I2104" s="139" t="s">
        <v>533</v>
      </c>
      <c r="J2104" s="139" t="s">
        <v>820</v>
      </c>
      <c r="K2104" s="51" t="s">
        <v>225</v>
      </c>
      <c r="L2104" s="4">
        <v>44006</v>
      </c>
      <c r="M2104" s="140">
        <v>50</v>
      </c>
      <c r="P2104" s="4" t="s">
        <v>214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264</v>
      </c>
      <c r="B2105" s="114" t="str">
        <f>VLOOKUP(A2105,'Data pick slip'!B:F,5,FALSE)</f>
        <v>KHJ-MC200-00</v>
      </c>
      <c r="F2105" s="157" t="s">
        <v>379</v>
      </c>
      <c r="I2105" s="139" t="s">
        <v>533</v>
      </c>
      <c r="J2105" s="139" t="s">
        <v>820</v>
      </c>
      <c r="K2105" s="51" t="s">
        <v>225</v>
      </c>
      <c r="L2105" s="4">
        <v>44006</v>
      </c>
      <c r="M2105" s="140">
        <v>100</v>
      </c>
      <c r="P2105" s="4" t="s">
        <v>214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265</v>
      </c>
      <c r="B2106" s="114" t="str">
        <f>VLOOKUP(A2106,'Data pick slip'!B:F,5,FALSE)</f>
        <v>KHJ-MC400-00</v>
      </c>
      <c r="F2106" s="157" t="s">
        <v>379</v>
      </c>
      <c r="I2106" s="139" t="s">
        <v>533</v>
      </c>
      <c r="J2106" s="139" t="s">
        <v>820</v>
      </c>
      <c r="K2106" s="51" t="s">
        <v>225</v>
      </c>
      <c r="L2106" s="4">
        <v>44006</v>
      </c>
      <c r="M2106" s="140">
        <v>35</v>
      </c>
      <c r="P2106" s="4" t="s">
        <v>214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266</v>
      </c>
      <c r="B2107" s="114" t="str">
        <f>VLOOKUP(A2107,'Data pick slip'!B:F,5,FALSE)</f>
        <v>KHJ-MC500-00</v>
      </c>
      <c r="F2107" s="157" t="s">
        <v>379</v>
      </c>
      <c r="I2107" s="139" t="s">
        <v>533</v>
      </c>
      <c r="J2107" s="139" t="s">
        <v>820</v>
      </c>
      <c r="K2107" s="51" t="s">
        <v>225</v>
      </c>
      <c r="L2107" s="4">
        <v>44006</v>
      </c>
      <c r="M2107" s="140">
        <v>5</v>
      </c>
      <c r="P2107" s="4" t="s">
        <v>214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267</v>
      </c>
      <c r="B2108" s="114" t="str">
        <f>VLOOKUP(A2108,'Data pick slip'!B:F,5,FALSE)</f>
        <v>KHJ-MC600-00</v>
      </c>
      <c r="F2108" s="157" t="s">
        <v>379</v>
      </c>
      <c r="I2108" s="139" t="s">
        <v>533</v>
      </c>
      <c r="J2108" s="139" t="s">
        <v>820</v>
      </c>
      <c r="K2108" s="51" t="s">
        <v>225</v>
      </c>
      <c r="L2108" s="4">
        <v>44006</v>
      </c>
      <c r="M2108" s="140">
        <v>8</v>
      </c>
      <c r="P2108" s="4" t="s">
        <v>214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264</v>
      </c>
      <c r="B2109" s="114" t="str">
        <f>VLOOKUP(A2109,'Data pick slip'!B:F,5,FALSE)</f>
        <v>KHJ-MC200-00</v>
      </c>
      <c r="F2109" s="157" t="s">
        <v>290</v>
      </c>
      <c r="I2109" s="139" t="s">
        <v>611</v>
      </c>
      <c r="J2109" s="139" t="s">
        <v>821</v>
      </c>
      <c r="K2109" s="51" t="s">
        <v>225</v>
      </c>
      <c r="L2109" s="4">
        <v>44010</v>
      </c>
      <c r="M2109" s="140">
        <v>5</v>
      </c>
      <c r="P2109" s="4" t="s">
        <v>214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265</v>
      </c>
      <c r="B2110" s="114" t="str">
        <f>VLOOKUP(A2110,'Data pick slip'!B:F,5,FALSE)</f>
        <v>KHJ-MC400-00</v>
      </c>
      <c r="F2110" s="157" t="s">
        <v>290</v>
      </c>
      <c r="I2110" s="139" t="s">
        <v>611</v>
      </c>
      <c r="J2110" s="139" t="s">
        <v>822</v>
      </c>
      <c r="K2110" s="51" t="s">
        <v>225</v>
      </c>
      <c r="L2110" s="4">
        <v>44010</v>
      </c>
      <c r="M2110" s="140">
        <v>3</v>
      </c>
      <c r="P2110" s="4" t="s">
        <v>214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266</v>
      </c>
      <c r="B2111" s="114" t="str">
        <f>VLOOKUP(A2111,'Data pick slip'!B:F,5,FALSE)</f>
        <v>KHJ-MC500-00</v>
      </c>
      <c r="F2111" s="157" t="s">
        <v>290</v>
      </c>
      <c r="I2111" s="139" t="s">
        <v>611</v>
      </c>
      <c r="J2111" s="139" t="s">
        <v>822</v>
      </c>
      <c r="K2111" s="51" t="s">
        <v>225</v>
      </c>
      <c r="L2111" s="4">
        <v>44010</v>
      </c>
      <c r="M2111" s="140">
        <v>2</v>
      </c>
      <c r="P2111" s="4" t="s">
        <v>214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261</v>
      </c>
      <c r="B2112" s="114" t="str">
        <f>VLOOKUP(A2112,'Data pick slip'!B:F,5,FALSE)</f>
        <v>KHJ-MC100-00</v>
      </c>
      <c r="F2112" s="157" t="s">
        <v>379</v>
      </c>
      <c r="H2112" s="138">
        <v>686</v>
      </c>
      <c r="I2112" s="139" t="e">
        <f>VLOOKUP(H2112,Stock_list!A:R,18,FALSE)</f>
        <v>#N/A</v>
      </c>
      <c r="J2112" s="139" t="e">
        <f>VLOOKUP(H2112,Stock_list!A:S,17,FALSE)</f>
        <v>#N/A</v>
      </c>
      <c r="K2112" s="51" t="e">
        <f>VLOOKUP(H2112,Stock_list!A:T,16,FALSE)</f>
        <v>#N/A</v>
      </c>
      <c r="L2112" s="4">
        <v>44042</v>
      </c>
      <c r="M2112" s="132">
        <v>110</v>
      </c>
      <c r="P2112" s="4" t="e">
        <f>VLOOKUP(H2112,Stock_list!A:Y,25,FALSE)</f>
        <v>#N/A</v>
      </c>
      <c r="Q2112" s="143"/>
      <c r="T2112" s="144"/>
      <c r="U2112" s="145" t="e">
        <f>VLOOKUP(H2112,Stock_list!A:N,14,FALSE)</f>
        <v>#N/A</v>
      </c>
    </row>
    <row r="2113" spans="1:21" ht="16.5" customHeight="1">
      <c r="A2113" s="159" t="s">
        <v>264</v>
      </c>
      <c r="B2113" s="114" t="str">
        <f>VLOOKUP(A2113,'Data pick slip'!B:F,5,FALSE)</f>
        <v>KHJ-MC200-00</v>
      </c>
      <c r="F2113" s="157" t="s">
        <v>379</v>
      </c>
      <c r="H2113" s="138">
        <v>686</v>
      </c>
      <c r="I2113" s="139" t="e">
        <f>VLOOKUP(H2113,Stock_list!A:R,18,FALSE)</f>
        <v>#N/A</v>
      </c>
      <c r="J2113" s="139" t="e">
        <f>VLOOKUP(H2113,Stock_list!A:S,17,FALSE)</f>
        <v>#N/A</v>
      </c>
      <c r="K2113" s="51" t="e">
        <f>VLOOKUP(H2113,Stock_list!A:T,16,FALSE)</f>
        <v>#N/A</v>
      </c>
      <c r="L2113" s="4">
        <v>44042</v>
      </c>
      <c r="M2113" s="132">
        <v>28</v>
      </c>
      <c r="P2113" s="4" t="e">
        <f>VLOOKUP(H2113,Stock_list!A:Y,25,FALSE)</f>
        <v>#N/A</v>
      </c>
      <c r="Q2113" s="143"/>
      <c r="T2113" s="144"/>
      <c r="U2113" s="145" t="e">
        <f>VLOOKUP(H2113,Stock_list!A:N,14,FALSE)</f>
        <v>#N/A</v>
      </c>
    </row>
    <row r="2114" spans="1:21" ht="16.5" customHeight="1">
      <c r="A2114" s="159" t="s">
        <v>265</v>
      </c>
      <c r="B2114" s="114" t="str">
        <f>VLOOKUP(A2114,'Data pick slip'!B:F,5,FALSE)</f>
        <v>KHJ-MC400-00</v>
      </c>
      <c r="F2114" s="157" t="s">
        <v>379</v>
      </c>
      <c r="H2114" s="138">
        <v>686</v>
      </c>
      <c r="I2114" s="139" t="e">
        <f>VLOOKUP(H2114,Stock_list!A:R,18,FALSE)</f>
        <v>#N/A</v>
      </c>
      <c r="J2114" s="139" t="e">
        <f>VLOOKUP(H2114,Stock_list!A:S,17,FALSE)</f>
        <v>#N/A</v>
      </c>
      <c r="K2114" s="51" t="e">
        <f>VLOOKUP(H2114,Stock_list!A:T,16,FALSE)</f>
        <v>#N/A</v>
      </c>
      <c r="L2114" s="4">
        <v>44042</v>
      </c>
      <c r="M2114" s="132">
        <v>3</v>
      </c>
      <c r="P2114" s="4" t="e">
        <f>VLOOKUP(H2114,Stock_list!A:Y,25,FALSE)</f>
        <v>#N/A</v>
      </c>
      <c r="Q2114" s="143"/>
      <c r="T2114" s="144"/>
      <c r="U2114" s="145" t="e">
        <f>VLOOKUP(H2114,Stock_list!A:N,14,FALSE)</f>
        <v>#N/A</v>
      </c>
    </row>
    <row r="2115" spans="1:21" ht="16.5" customHeight="1">
      <c r="A2115" s="159" t="s">
        <v>266</v>
      </c>
      <c r="B2115" s="114" t="str">
        <f>VLOOKUP(A2115,'Data pick slip'!B:F,5,FALSE)</f>
        <v>KHJ-MC500-00</v>
      </c>
      <c r="F2115" s="157" t="s">
        <v>379</v>
      </c>
      <c r="H2115" s="138">
        <v>686</v>
      </c>
      <c r="I2115" s="139" t="e">
        <f>VLOOKUP(H2115,Stock_list!A:R,18,FALSE)</f>
        <v>#N/A</v>
      </c>
      <c r="J2115" s="139" t="e">
        <f>VLOOKUP(H2115,Stock_list!A:S,17,FALSE)</f>
        <v>#N/A</v>
      </c>
      <c r="K2115" s="51" t="e">
        <f>VLOOKUP(H2115,Stock_list!A:T,16,FALSE)</f>
        <v>#N/A</v>
      </c>
      <c r="L2115" s="4">
        <v>44042</v>
      </c>
      <c r="M2115" s="132">
        <v>2</v>
      </c>
      <c r="P2115" s="4" t="e">
        <f>VLOOKUP(H2115,Stock_list!A:Y,25,FALSE)</f>
        <v>#N/A</v>
      </c>
      <c r="Q2115" s="143"/>
      <c r="T2115" s="144"/>
      <c r="U2115" s="145" t="e">
        <f>VLOOKUP(H2115,Stock_list!A:N,14,FALSE)</f>
        <v>#N/A</v>
      </c>
    </row>
    <row r="2116" spans="1:21" ht="16.5" customHeight="1">
      <c r="A2116" s="159" t="s">
        <v>267</v>
      </c>
      <c r="B2116" s="114" t="str">
        <f>VLOOKUP(A2116,'Data pick slip'!B:F,5,FALSE)</f>
        <v>KHJ-MC600-00</v>
      </c>
      <c r="F2116" s="157" t="s">
        <v>379</v>
      </c>
      <c r="H2116" s="138">
        <v>686</v>
      </c>
      <c r="I2116" s="139" t="e">
        <f>VLOOKUP(H2116,Stock_list!A:R,18,FALSE)</f>
        <v>#N/A</v>
      </c>
      <c r="J2116" s="139" t="e">
        <f>VLOOKUP(H2116,Stock_list!A:S,17,FALSE)</f>
        <v>#N/A</v>
      </c>
      <c r="K2116" s="51" t="e">
        <f>VLOOKUP(H2116,Stock_list!A:T,16,FALSE)</f>
        <v>#N/A</v>
      </c>
      <c r="L2116" s="4">
        <v>44042</v>
      </c>
      <c r="M2116" s="132">
        <v>1</v>
      </c>
      <c r="P2116" s="4" t="e">
        <f>VLOOKUP(H2116,Stock_list!A:Y,25,FALSE)</f>
        <v>#N/A</v>
      </c>
      <c r="Q2116" s="143"/>
      <c r="T2116" s="144"/>
      <c r="U2116" s="145" t="e">
        <f>VLOOKUP(H2116,Stock_list!A:N,14,FALSE)</f>
        <v>#N/A</v>
      </c>
    </row>
    <row r="2117" spans="1:21" ht="16.5" customHeight="1">
      <c r="A2117" s="159" t="s">
        <v>261</v>
      </c>
      <c r="B2117" s="114" t="str">
        <f>VLOOKUP(A2117,'Data pick slip'!B:F,5,FALSE)</f>
        <v>KHJ-MC100-00</v>
      </c>
      <c r="F2117" s="157" t="s">
        <v>379</v>
      </c>
      <c r="H2117" s="138">
        <v>689</v>
      </c>
      <c r="I2117" s="139" t="e">
        <f>VLOOKUP(H2117,Stock_list!A:R,18,FALSE)</f>
        <v>#N/A</v>
      </c>
      <c r="J2117" s="139" t="e">
        <f>VLOOKUP(H2117,Stock_list!A:S,17,FALSE)</f>
        <v>#N/A</v>
      </c>
      <c r="K2117" s="51" t="e">
        <f>VLOOKUP(H2117,Stock_list!A:T,16,FALSE)</f>
        <v>#N/A</v>
      </c>
      <c r="L2117" s="4">
        <v>44020</v>
      </c>
      <c r="M2117" s="140">
        <v>10</v>
      </c>
      <c r="P2117" s="4" t="e">
        <f>VLOOKUP(H2117,Stock_list!A:Y,25,FALSE)</f>
        <v>#N/A</v>
      </c>
      <c r="Q2117" s="143"/>
      <c r="T2117" s="144"/>
      <c r="U2117" s="145" t="e">
        <f>VLOOKUP(H2117,Stock_list!A:N,14,FALSE)</f>
        <v>#N/A</v>
      </c>
    </row>
    <row r="2118" spans="1:21" ht="16.5" customHeight="1">
      <c r="A2118" s="159" t="s">
        <v>261</v>
      </c>
      <c r="B2118" s="114" t="str">
        <f>VLOOKUP(A2118,'Data pick slip'!B:F,5,FALSE)</f>
        <v>KHJ-MC100-00</v>
      </c>
      <c r="F2118" s="157" t="s">
        <v>290</v>
      </c>
      <c r="H2118" s="138">
        <v>689</v>
      </c>
      <c r="I2118" s="139" t="e">
        <f>VLOOKUP(H2118,Stock_list!A:R,18,FALSE)</f>
        <v>#N/A</v>
      </c>
      <c r="J2118" s="139" t="e">
        <f>VLOOKUP(H2118,Stock_list!A:S,17,FALSE)</f>
        <v>#N/A</v>
      </c>
      <c r="K2118" s="51" t="e">
        <f>VLOOKUP(H2118,Stock_list!A:T,16,FALSE)</f>
        <v>#N/A</v>
      </c>
      <c r="L2118" s="4">
        <v>44020</v>
      </c>
      <c r="M2118" s="140">
        <v>3</v>
      </c>
      <c r="P2118" s="4" t="e">
        <f>VLOOKUP(H2118,Stock_list!A:Y,25,FALSE)</f>
        <v>#N/A</v>
      </c>
      <c r="Q2118" s="143"/>
      <c r="S2118" s="123" t="s">
        <v>521</v>
      </c>
      <c r="T2118" s="205" t="s">
        <v>823</v>
      </c>
      <c r="U2118" s="145" t="e">
        <f>VLOOKUP(H2118,Stock_list!A:N,14,FALSE)</f>
        <v>#N/A</v>
      </c>
    </row>
    <row r="2119" spans="1:21" ht="16.5" customHeight="1">
      <c r="A2119" s="159" t="s">
        <v>261</v>
      </c>
      <c r="B2119" s="114" t="str">
        <f>VLOOKUP(A2119,'Data pick slip'!B:F,5,FALSE)</f>
        <v>KHJ-MC100-00</v>
      </c>
      <c r="F2119" s="157" t="s">
        <v>290</v>
      </c>
      <c r="H2119" s="138">
        <v>690</v>
      </c>
      <c r="I2119" s="139" t="e">
        <f>VLOOKUP(H2119,Stock_list!A:R,18,FALSE)</f>
        <v>#N/A</v>
      </c>
      <c r="J2119" s="139" t="e">
        <f>VLOOKUP(H2119,Stock_list!A:S,17,FALSE)</f>
        <v>#N/A</v>
      </c>
      <c r="K2119" s="51" t="e">
        <f>VLOOKUP(H2119,Stock_list!A:T,16,FALSE)</f>
        <v>#N/A</v>
      </c>
      <c r="L2119" s="4">
        <v>44036</v>
      </c>
      <c r="M2119" s="132">
        <v>40</v>
      </c>
      <c r="P2119" s="4" t="e">
        <f>VLOOKUP(H2119,Stock_list!A:Y,25,FALSE)</f>
        <v>#N/A</v>
      </c>
      <c r="Q2119" s="143"/>
      <c r="T2119" s="144"/>
      <c r="U2119" s="145" t="e">
        <f>VLOOKUP(H2119,Stock_list!A:N,14,FALSE)</f>
        <v>#N/A</v>
      </c>
    </row>
    <row r="2120" spans="1:21" ht="16.5" customHeight="1">
      <c r="A2120" s="159" t="s">
        <v>264</v>
      </c>
      <c r="B2120" s="114" t="str">
        <f>VLOOKUP(A2120,'Data pick slip'!B:F,5,FALSE)</f>
        <v>KHJ-MC200-00</v>
      </c>
      <c r="F2120" s="157" t="s">
        <v>290</v>
      </c>
      <c r="H2120" s="138">
        <v>690</v>
      </c>
      <c r="I2120" s="139" t="e">
        <f>VLOOKUP(H2120,Stock_list!A:R,18,FALSE)</f>
        <v>#N/A</v>
      </c>
      <c r="J2120" s="139" t="e">
        <f>VLOOKUP(H2120,Stock_list!A:S,17,FALSE)</f>
        <v>#N/A</v>
      </c>
      <c r="K2120" s="51" t="e">
        <f>VLOOKUP(H2120,Stock_list!A:T,16,FALSE)</f>
        <v>#N/A</v>
      </c>
      <c r="L2120" s="4">
        <v>44036</v>
      </c>
      <c r="M2120" s="132">
        <v>6</v>
      </c>
      <c r="P2120" s="4" t="e">
        <f>VLOOKUP(H2120,Stock_list!A:Y,25,FALSE)</f>
        <v>#N/A</v>
      </c>
      <c r="Q2120" s="143"/>
      <c r="T2120" s="144"/>
      <c r="U2120" s="145" t="e">
        <f>VLOOKUP(H2120,Stock_list!A:N,14,FALSE)</f>
        <v>#N/A</v>
      </c>
    </row>
    <row r="2121" spans="1:21" ht="16.5" customHeight="1">
      <c r="A2121" s="159" t="s">
        <v>265</v>
      </c>
      <c r="B2121" s="114" t="str">
        <f>VLOOKUP(A2121,'Data pick slip'!B:F,5,FALSE)</f>
        <v>KHJ-MC400-00</v>
      </c>
      <c r="F2121" s="157" t="s">
        <v>290</v>
      </c>
      <c r="H2121" s="138">
        <v>690</v>
      </c>
      <c r="I2121" s="139" t="e">
        <f>VLOOKUP(H2121,Stock_list!A:R,18,FALSE)</f>
        <v>#N/A</v>
      </c>
      <c r="J2121" s="139" t="e">
        <f>VLOOKUP(H2121,Stock_list!A:S,17,FALSE)</f>
        <v>#N/A</v>
      </c>
      <c r="K2121" s="51" t="e">
        <f>VLOOKUP(H2121,Stock_list!A:T,16,FALSE)</f>
        <v>#N/A</v>
      </c>
      <c r="L2121" s="4">
        <v>44036</v>
      </c>
      <c r="M2121" s="132">
        <v>6</v>
      </c>
      <c r="P2121" s="4" t="e">
        <f>VLOOKUP(H2121,Stock_list!A:Y,25,FALSE)</f>
        <v>#N/A</v>
      </c>
      <c r="Q2121" s="143"/>
      <c r="T2121" s="144"/>
      <c r="U2121" s="145" t="e">
        <f>VLOOKUP(H2121,Stock_list!A:N,14,FALSE)</f>
        <v>#N/A</v>
      </c>
    </row>
    <row r="2122" spans="1:21" ht="16.5" customHeight="1">
      <c r="A2122" s="159" t="s">
        <v>266</v>
      </c>
      <c r="B2122" s="114" t="str">
        <f>VLOOKUP(A2122,'Data pick slip'!B:F,5,FALSE)</f>
        <v>KHJ-MC500-00</v>
      </c>
      <c r="F2122" s="157" t="s">
        <v>290</v>
      </c>
      <c r="H2122" s="138">
        <v>690</v>
      </c>
      <c r="I2122" s="139" t="e">
        <f>VLOOKUP(H2122,Stock_list!A:R,18,FALSE)</f>
        <v>#N/A</v>
      </c>
      <c r="J2122" s="139" t="e">
        <f>VLOOKUP(H2122,Stock_list!A:S,17,FALSE)</f>
        <v>#N/A</v>
      </c>
      <c r="K2122" s="51" t="e">
        <f>VLOOKUP(H2122,Stock_list!A:T,16,FALSE)</f>
        <v>#N/A</v>
      </c>
      <c r="L2122" s="4">
        <v>44036</v>
      </c>
      <c r="M2122" s="132">
        <v>1</v>
      </c>
      <c r="P2122" s="4" t="e">
        <f>VLOOKUP(H2122,Stock_list!A:Y,25,FALSE)</f>
        <v>#N/A</v>
      </c>
      <c r="Q2122" s="143"/>
      <c r="T2122" s="144"/>
      <c r="U2122" s="145" t="e">
        <f>VLOOKUP(H2122,Stock_list!A:N,14,FALSE)</f>
        <v>#N/A</v>
      </c>
    </row>
    <row r="2123" spans="1:21" ht="16.5" customHeight="1">
      <c r="A2123" s="159" t="s">
        <v>267</v>
      </c>
      <c r="B2123" s="114" t="str">
        <f>VLOOKUP(A2123,'Data pick slip'!B:F,5,FALSE)</f>
        <v>KHJ-MC600-00</v>
      </c>
      <c r="F2123" s="157" t="s">
        <v>290</v>
      </c>
      <c r="H2123" s="138">
        <v>690</v>
      </c>
      <c r="I2123" s="139" t="e">
        <f>VLOOKUP(H2123,Stock_list!A:R,18,FALSE)</f>
        <v>#N/A</v>
      </c>
      <c r="J2123" s="139" t="e">
        <f>VLOOKUP(H2123,Stock_list!A:S,17,FALSE)</f>
        <v>#N/A</v>
      </c>
      <c r="K2123" s="51" t="e">
        <f>VLOOKUP(H2123,Stock_list!A:T,16,FALSE)</f>
        <v>#N/A</v>
      </c>
      <c r="L2123" s="4">
        <v>44036</v>
      </c>
      <c r="M2123" s="132">
        <v>1</v>
      </c>
      <c r="P2123" s="4" t="e">
        <f>VLOOKUP(H2123,Stock_list!A:Y,25,FALSE)</f>
        <v>#N/A</v>
      </c>
      <c r="Q2123" s="143"/>
      <c r="T2123" s="144"/>
      <c r="U2123" s="145" t="e">
        <f>VLOOKUP(H2123,Stock_list!A:N,14,FALSE)</f>
        <v>#N/A</v>
      </c>
    </row>
    <row r="2124" spans="1:21" ht="16.5" customHeight="1">
      <c r="A2124" s="159" t="s">
        <v>261</v>
      </c>
      <c r="B2124" s="114" t="str">
        <f>VLOOKUP(A2124,'Data pick slip'!B:F,5,FALSE)</f>
        <v>KHJ-MC100-00</v>
      </c>
      <c r="F2124" s="157" t="s">
        <v>379</v>
      </c>
      <c r="H2124" s="138">
        <v>691</v>
      </c>
      <c r="I2124" s="139" t="e">
        <f>VLOOKUP(H2124,Stock_list!A:R,18,FALSE)</f>
        <v>#N/A</v>
      </c>
      <c r="J2124" s="139" t="e">
        <f>VLOOKUP(H2124,Stock_list!A:S,17,FALSE)</f>
        <v>#N/A</v>
      </c>
      <c r="K2124" s="51" t="e">
        <f>VLOOKUP(H2124,Stock_list!A:T,16,FALSE)</f>
        <v>#N/A</v>
      </c>
      <c r="L2124" s="4">
        <v>44040</v>
      </c>
      <c r="M2124" s="132">
        <v>20</v>
      </c>
      <c r="P2124" s="4" t="e">
        <f>VLOOKUP(H2124,Stock_list!A:Y,25,FALSE)</f>
        <v>#N/A</v>
      </c>
      <c r="Q2124" s="143"/>
      <c r="T2124" s="144"/>
      <c r="U2124" s="145" t="e">
        <f>VLOOKUP(H2124,Stock_list!A:N,14,FALSE)</f>
        <v>#N/A</v>
      </c>
    </row>
    <row r="2125" spans="1:21" ht="16.5" customHeight="1">
      <c r="A2125" s="159" t="s">
        <v>265</v>
      </c>
      <c r="B2125" s="114" t="str">
        <f>VLOOKUP(A2125,'Data pick slip'!B:F,5,FALSE)</f>
        <v>KHJ-MC400-00</v>
      </c>
      <c r="F2125" s="157" t="s">
        <v>379</v>
      </c>
      <c r="H2125" s="138">
        <v>691</v>
      </c>
      <c r="I2125" s="139" t="e">
        <f>VLOOKUP(H2125,Stock_list!A:R,18,FALSE)</f>
        <v>#N/A</v>
      </c>
      <c r="J2125" s="139" t="e">
        <f>VLOOKUP(H2125,Stock_list!A:S,17,FALSE)</f>
        <v>#N/A</v>
      </c>
      <c r="K2125" s="51" t="e">
        <f>VLOOKUP(H2125,Stock_list!A:T,16,FALSE)</f>
        <v>#N/A</v>
      </c>
      <c r="L2125" s="4">
        <v>44040</v>
      </c>
      <c r="M2125" s="132">
        <v>1</v>
      </c>
      <c r="P2125" s="4" t="e">
        <f>VLOOKUP(H2125,Stock_list!A:Y,25,FALSE)</f>
        <v>#N/A</v>
      </c>
      <c r="Q2125" s="143"/>
      <c r="T2125" s="144"/>
      <c r="U2125" s="145" t="e">
        <f>VLOOKUP(H2125,Stock_list!A:N,14,FALSE)</f>
        <v>#N/A</v>
      </c>
    </row>
    <row r="2126" spans="1:21" ht="16.5" customHeight="1">
      <c r="A2126" s="159" t="s">
        <v>266</v>
      </c>
      <c r="B2126" s="114" t="str">
        <f>VLOOKUP(A2126,'Data pick slip'!B:F,5,FALSE)</f>
        <v>KHJ-MC500-00</v>
      </c>
      <c r="F2126" s="157" t="s">
        <v>379</v>
      </c>
      <c r="H2126" s="138">
        <v>691</v>
      </c>
      <c r="I2126" s="139" t="e">
        <f>VLOOKUP(H2126,Stock_list!A:R,18,FALSE)</f>
        <v>#N/A</v>
      </c>
      <c r="J2126" s="139" t="e">
        <f>VLOOKUP(H2126,Stock_list!A:S,17,FALSE)</f>
        <v>#N/A</v>
      </c>
      <c r="K2126" s="51" t="e">
        <f>VLOOKUP(H2126,Stock_list!A:T,16,FALSE)</f>
        <v>#N/A</v>
      </c>
      <c r="L2126" s="4">
        <v>44040</v>
      </c>
      <c r="M2126" s="132">
        <v>1</v>
      </c>
      <c r="P2126" s="4" t="e">
        <f>VLOOKUP(H2126,Stock_list!A:Y,25,FALSE)</f>
        <v>#N/A</v>
      </c>
      <c r="Q2126" s="143"/>
      <c r="T2126" s="144"/>
      <c r="U2126" s="145" t="e">
        <f>VLOOKUP(H2126,Stock_list!A:N,14,FALSE)</f>
        <v>#N/A</v>
      </c>
    </row>
    <row r="2127" spans="1:21" ht="16.5" customHeight="1">
      <c r="A2127" s="159" t="s">
        <v>272</v>
      </c>
      <c r="B2127" s="114" t="str">
        <f>VLOOKUP(A2127,'Data pick slip'!B:F,5,FALSE)</f>
        <v>KLJ-MC100-00</v>
      </c>
      <c r="F2127" s="157" t="s">
        <v>379</v>
      </c>
      <c r="H2127" s="138">
        <v>692</v>
      </c>
      <c r="I2127" s="139" t="e">
        <f>VLOOKUP(H2127,Stock_list!A:R,18,FALSE)</f>
        <v>#N/A</v>
      </c>
      <c r="J2127" s="139" t="e">
        <f>VLOOKUP(H2127,Stock_list!A:S,17,FALSE)</f>
        <v>#N/A</v>
      </c>
      <c r="K2127" s="51" t="e">
        <f>VLOOKUP(H2127,Stock_list!A:T,16,FALSE)</f>
        <v>#N/A</v>
      </c>
      <c r="L2127" s="4">
        <v>44074</v>
      </c>
      <c r="M2127" s="132">
        <v>242</v>
      </c>
      <c r="P2127" s="4" t="e">
        <f>VLOOKUP(H2127,Stock_list!A:Y,25,FALSE)</f>
        <v>#N/A</v>
      </c>
      <c r="Q2127" s="143"/>
      <c r="T2127" s="144"/>
      <c r="U2127" s="145" t="e">
        <f>VLOOKUP(H2127,Stock_list!A:N,14,FALSE)</f>
        <v>#N/A</v>
      </c>
    </row>
    <row r="2128" spans="1:21" ht="16.5" customHeight="1">
      <c r="A2128" s="159" t="s">
        <v>264</v>
      </c>
      <c r="B2128" s="114" t="str">
        <f>VLOOKUP(A2128,'Data pick slip'!B:F,5,FALSE)</f>
        <v>KHJ-MC200-00</v>
      </c>
      <c r="F2128" s="157" t="s">
        <v>379</v>
      </c>
      <c r="H2128" s="138">
        <v>692</v>
      </c>
      <c r="I2128" s="139" t="e">
        <f>VLOOKUP(H2128,Stock_list!A:R,18,FALSE)</f>
        <v>#N/A</v>
      </c>
      <c r="J2128" s="139" t="e">
        <f>VLOOKUP(H2128,Stock_list!A:S,17,FALSE)</f>
        <v>#N/A</v>
      </c>
      <c r="K2128" s="51" t="e">
        <f>VLOOKUP(H2128,Stock_list!A:T,16,FALSE)</f>
        <v>#N/A</v>
      </c>
      <c r="L2128" s="4">
        <v>44074</v>
      </c>
      <c r="M2128" s="132">
        <v>40</v>
      </c>
      <c r="P2128" s="4" t="e">
        <f>VLOOKUP(H2128,Stock_list!A:Y,25,FALSE)</f>
        <v>#N/A</v>
      </c>
      <c r="Q2128" s="143"/>
      <c r="T2128" s="144"/>
      <c r="U2128" s="145" t="e">
        <f>VLOOKUP(H2128,Stock_list!A:N,14,FALSE)</f>
        <v>#N/A</v>
      </c>
    </row>
    <row r="2129" spans="1:21" ht="16.5" customHeight="1">
      <c r="A2129" s="159" t="s">
        <v>265</v>
      </c>
      <c r="B2129" s="114" t="str">
        <f>VLOOKUP(A2129,'Data pick slip'!B:F,5,FALSE)</f>
        <v>KHJ-MC400-00</v>
      </c>
      <c r="F2129" s="157" t="s">
        <v>379</v>
      </c>
      <c r="H2129" s="138">
        <v>692</v>
      </c>
      <c r="I2129" s="139" t="e">
        <f>VLOOKUP(H2129,Stock_list!A:R,18,FALSE)</f>
        <v>#N/A</v>
      </c>
      <c r="J2129" s="139" t="e">
        <f>VLOOKUP(H2129,Stock_list!A:S,17,FALSE)</f>
        <v>#N/A</v>
      </c>
      <c r="K2129" s="51" t="e">
        <f>VLOOKUP(H2129,Stock_list!A:T,16,FALSE)</f>
        <v>#N/A</v>
      </c>
      <c r="L2129" s="4">
        <v>44074</v>
      </c>
      <c r="M2129" s="132">
        <v>10</v>
      </c>
      <c r="P2129" s="4" t="e">
        <f>VLOOKUP(H2129,Stock_list!A:Y,25,FALSE)</f>
        <v>#N/A</v>
      </c>
      <c r="Q2129" s="143"/>
      <c r="T2129" s="144"/>
      <c r="U2129" s="145" t="e">
        <f>VLOOKUP(H2129,Stock_list!A:N,14,FALSE)</f>
        <v>#N/A</v>
      </c>
    </row>
    <row r="2130" spans="1:21" ht="16.5" customHeight="1">
      <c r="A2130" s="159" t="s">
        <v>261</v>
      </c>
      <c r="B2130" s="114" t="str">
        <f>VLOOKUP(A2130,'Data pick slip'!B:F,5,FALSE)</f>
        <v>KHJ-MC100-00</v>
      </c>
      <c r="F2130" s="157" t="s">
        <v>379</v>
      </c>
      <c r="I2130" s="139" t="s">
        <v>533</v>
      </c>
      <c r="J2130" s="139" t="s">
        <v>824</v>
      </c>
      <c r="K2130" s="51" t="s">
        <v>225</v>
      </c>
      <c r="L2130" s="4">
        <v>44013</v>
      </c>
      <c r="M2130" s="140">
        <v>100</v>
      </c>
      <c r="P2130" s="4" t="s">
        <v>214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266</v>
      </c>
      <c r="B2131" s="114" t="str">
        <f>VLOOKUP(A2131,'Data pick slip'!B:F,5,FALSE)</f>
        <v>KHJ-MC500-00</v>
      </c>
      <c r="F2131" s="157" t="s">
        <v>379</v>
      </c>
      <c r="I2131" s="139" t="s">
        <v>533</v>
      </c>
      <c r="J2131" s="139" t="s">
        <v>824</v>
      </c>
      <c r="K2131" s="51" t="s">
        <v>225</v>
      </c>
      <c r="L2131" s="4">
        <v>44013</v>
      </c>
      <c r="M2131" s="140">
        <v>10</v>
      </c>
      <c r="P2131" s="4" t="s">
        <v>214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261</v>
      </c>
      <c r="B2132" s="114" t="str">
        <f>VLOOKUP(A2132,'Data pick slip'!B:F,5,FALSE)</f>
        <v>KHJ-MC100-00</v>
      </c>
      <c r="F2132" s="157" t="s">
        <v>379</v>
      </c>
      <c r="I2132" s="139" t="s">
        <v>533</v>
      </c>
      <c r="J2132" s="139" t="s">
        <v>825</v>
      </c>
      <c r="K2132" s="51" t="s">
        <v>225</v>
      </c>
      <c r="L2132" s="4">
        <v>44018</v>
      </c>
      <c r="M2132" s="140">
        <v>250</v>
      </c>
      <c r="P2132" s="4" t="s">
        <v>214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261</v>
      </c>
      <c r="B2133" s="114" t="str">
        <f>VLOOKUP(A2133,'Data pick slip'!B:F,5,FALSE)</f>
        <v>KHJ-MC100-00</v>
      </c>
      <c r="F2133" s="157" t="s">
        <v>379</v>
      </c>
      <c r="H2133" s="138">
        <v>699</v>
      </c>
      <c r="I2133" s="139" t="e">
        <f>VLOOKUP(H2133,Stock_list!A:R,18,FALSE)</f>
        <v>#N/A</v>
      </c>
      <c r="J2133" s="139" t="e">
        <f>VLOOKUP(H2133,Stock_list!A:S,17,FALSE)</f>
        <v>#N/A</v>
      </c>
      <c r="K2133" s="51" t="e">
        <f>VLOOKUP(H2133,Stock_list!A:T,16,FALSE)</f>
        <v>#N/A</v>
      </c>
      <c r="L2133" s="4">
        <v>44117</v>
      </c>
      <c r="M2133" s="132">
        <v>30</v>
      </c>
      <c r="P2133" s="4" t="e">
        <f>VLOOKUP(H2133,Stock_list!A:Y,25,FALSE)</f>
        <v>#N/A</v>
      </c>
      <c r="Q2133" s="133"/>
      <c r="T2133" s="144"/>
      <c r="U2133" s="145" t="e">
        <f>VLOOKUP(H2133,Stock_list!A:N,14,FALSE)</f>
        <v>#N/A</v>
      </c>
    </row>
    <row r="2134" spans="1:21" ht="16.5" customHeight="1">
      <c r="A2134" s="159" t="s">
        <v>264</v>
      </c>
      <c r="B2134" s="114" t="str">
        <f>VLOOKUP(A2134,'Data pick slip'!B:F,5,FALSE)</f>
        <v>KHJ-MC200-00</v>
      </c>
      <c r="F2134" s="157" t="s">
        <v>379</v>
      </c>
      <c r="H2134" s="138">
        <v>699</v>
      </c>
      <c r="I2134" s="139" t="e">
        <f>VLOOKUP(H2134,Stock_list!A:R,18,FALSE)</f>
        <v>#N/A</v>
      </c>
      <c r="J2134" s="139" t="e">
        <f>VLOOKUP(H2134,Stock_list!A:S,17,FALSE)</f>
        <v>#N/A</v>
      </c>
      <c r="K2134" s="51" t="e">
        <f>VLOOKUP(H2134,Stock_list!A:T,16,FALSE)</f>
        <v>#N/A</v>
      </c>
      <c r="L2134" s="4">
        <v>44117</v>
      </c>
      <c r="M2134" s="132">
        <v>5</v>
      </c>
      <c r="P2134" s="4" t="e">
        <f>VLOOKUP(H2134,Stock_list!A:Y,25,FALSE)</f>
        <v>#N/A</v>
      </c>
      <c r="Q2134" s="133"/>
      <c r="T2134" s="144"/>
      <c r="U2134" s="145" t="e">
        <f>VLOOKUP(H2134,Stock_list!A:N,14,FALSE)</f>
        <v>#N/A</v>
      </c>
    </row>
    <row r="2135" spans="1:21" ht="16.5" customHeight="1">
      <c r="A2135" s="159" t="s">
        <v>266</v>
      </c>
      <c r="B2135" s="114" t="str">
        <f>VLOOKUP(A2135,'Data pick slip'!B:F,5,FALSE)</f>
        <v>KHJ-MC500-00</v>
      </c>
      <c r="F2135" s="157" t="s">
        <v>379</v>
      </c>
      <c r="H2135" s="138">
        <v>699</v>
      </c>
      <c r="I2135" s="139" t="e">
        <f>VLOOKUP(H2135,Stock_list!A:R,18,FALSE)</f>
        <v>#N/A</v>
      </c>
      <c r="J2135" s="139" t="e">
        <f>VLOOKUP(H2135,Stock_list!A:S,17,FALSE)</f>
        <v>#N/A</v>
      </c>
      <c r="K2135" s="51" t="e">
        <f>VLOOKUP(H2135,Stock_list!A:T,16,FALSE)</f>
        <v>#N/A</v>
      </c>
      <c r="L2135" s="4">
        <v>44117</v>
      </c>
      <c r="M2135" s="132">
        <v>1</v>
      </c>
      <c r="P2135" s="4" t="e">
        <f>VLOOKUP(H2135,Stock_list!A:Y,25,FALSE)</f>
        <v>#N/A</v>
      </c>
      <c r="Q2135" s="133"/>
      <c r="T2135" s="144"/>
      <c r="U2135" s="145" t="e">
        <f>VLOOKUP(H2135,Stock_list!A:N,14,FALSE)</f>
        <v>#N/A</v>
      </c>
    </row>
    <row r="2136" spans="1:21" ht="16.5" customHeight="1">
      <c r="A2136" s="159" t="s">
        <v>267</v>
      </c>
      <c r="B2136" s="114" t="str">
        <f>VLOOKUP(A2136,'Data pick slip'!B:F,5,FALSE)</f>
        <v>KHJ-MC600-00</v>
      </c>
      <c r="F2136" s="157" t="s">
        <v>290</v>
      </c>
      <c r="H2136" s="138">
        <v>699</v>
      </c>
      <c r="I2136" s="139" t="e">
        <f>VLOOKUP(H2136,Stock_list!A:R,18,FALSE)</f>
        <v>#N/A</v>
      </c>
      <c r="J2136" s="139" t="e">
        <f>VLOOKUP(H2136,Stock_list!A:S,17,FALSE)</f>
        <v>#N/A</v>
      </c>
      <c r="K2136" s="51" t="e">
        <f>VLOOKUP(H2136,Stock_list!A:T,16,FALSE)</f>
        <v>#N/A</v>
      </c>
      <c r="L2136" s="143" t="s">
        <v>826</v>
      </c>
      <c r="M2136" s="132">
        <v>1</v>
      </c>
      <c r="P2136" s="4" t="e">
        <f>VLOOKUP(H2136,Stock_list!A:Y,25,FALSE)</f>
        <v>#N/A</v>
      </c>
      <c r="Q2136" s="133"/>
      <c r="S2136" s="123" t="s">
        <v>521</v>
      </c>
      <c r="T2136" s="205" t="s">
        <v>827</v>
      </c>
      <c r="U2136" s="145" t="e">
        <f>VLOOKUP(H2136,Stock_list!A:N,14,FALSE)</f>
        <v>#N/A</v>
      </c>
    </row>
    <row r="2137" spans="1:21" ht="16.5" customHeight="1">
      <c r="A2137" s="159" t="s">
        <v>266</v>
      </c>
      <c r="B2137" s="114" t="str">
        <f>VLOOKUP(A2137,'Data pick slip'!B:F,5,FALSE)</f>
        <v>KHJ-MC500-00</v>
      </c>
      <c r="F2137" s="157" t="s">
        <v>290</v>
      </c>
      <c r="I2137" s="139" t="s">
        <v>611</v>
      </c>
      <c r="J2137" s="139" t="s">
        <v>828</v>
      </c>
      <c r="K2137" s="51" t="s">
        <v>225</v>
      </c>
      <c r="L2137" s="4">
        <v>44020</v>
      </c>
      <c r="M2137" s="140">
        <v>2</v>
      </c>
      <c r="P2137" s="4" t="s">
        <v>214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264</v>
      </c>
      <c r="B2138" s="114" t="str">
        <f>VLOOKUP(A2138,'Data pick slip'!B:F,5,FALSE)</f>
        <v>KHJ-MC200-00</v>
      </c>
      <c r="F2138" s="157" t="s">
        <v>290</v>
      </c>
      <c r="I2138" s="139" t="s">
        <v>611</v>
      </c>
      <c r="J2138" s="139" t="s">
        <v>829</v>
      </c>
      <c r="K2138" s="51" t="s">
        <v>225</v>
      </c>
      <c r="L2138" s="4">
        <v>44019</v>
      </c>
      <c r="M2138" s="140">
        <v>6</v>
      </c>
      <c r="P2138" s="4" t="s">
        <v>214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272</v>
      </c>
      <c r="B2139" s="114" t="str">
        <f>VLOOKUP(A2139,'Data pick slip'!B:F,5,FALSE)</f>
        <v>KLJ-MC100-00</v>
      </c>
      <c r="F2139" s="157" t="s">
        <v>290</v>
      </c>
      <c r="I2139" s="139" t="s">
        <v>804</v>
      </c>
      <c r="J2139" s="139" t="s">
        <v>830</v>
      </c>
      <c r="K2139" s="51" t="s">
        <v>225</v>
      </c>
      <c r="L2139" s="4">
        <v>44018</v>
      </c>
      <c r="M2139" s="140">
        <v>30</v>
      </c>
      <c r="P2139" s="4" t="s">
        <v>214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261</v>
      </c>
      <c r="B2140" s="114" t="str">
        <f>VLOOKUP(A2140,'Data pick slip'!B:F,5,FALSE)</f>
        <v>KHJ-MC100-00</v>
      </c>
      <c r="F2140" s="157" t="s">
        <v>379</v>
      </c>
      <c r="H2140" s="138">
        <v>703</v>
      </c>
      <c r="I2140" s="139" t="e">
        <f>VLOOKUP(H2140,Stock_list!A:R,18,FALSE)</f>
        <v>#N/A</v>
      </c>
      <c r="J2140" s="139" t="e">
        <f>VLOOKUP(H2140,Stock_list!A:S,17,FALSE)</f>
        <v>#N/A</v>
      </c>
      <c r="K2140" s="51" t="e">
        <f>VLOOKUP(H2140,Stock_list!A:T,16,FALSE)</f>
        <v>#N/A</v>
      </c>
      <c r="L2140" s="4">
        <v>44032</v>
      </c>
      <c r="M2140" s="132">
        <v>32</v>
      </c>
      <c r="P2140" s="4" t="e">
        <f>VLOOKUP(H2140,Stock_list!A:Y,25,FALSE)</f>
        <v>#N/A</v>
      </c>
      <c r="Q2140" s="143"/>
      <c r="T2140" s="144"/>
      <c r="U2140" s="145" t="e">
        <f>VLOOKUP(H2140,Stock_list!A:N,14,FALSE)</f>
        <v>#N/A</v>
      </c>
    </row>
    <row r="2141" spans="1:21" ht="16.5" customHeight="1">
      <c r="A2141" s="159" t="s">
        <v>264</v>
      </c>
      <c r="B2141" s="114" t="str">
        <f>VLOOKUP(A2141,'Data pick slip'!B:F,5,FALSE)</f>
        <v>KHJ-MC200-00</v>
      </c>
      <c r="F2141" s="157" t="s">
        <v>379</v>
      </c>
      <c r="H2141" s="138">
        <v>703</v>
      </c>
      <c r="I2141" s="139" t="e">
        <f>VLOOKUP(H2141,Stock_list!A:R,18,FALSE)</f>
        <v>#N/A</v>
      </c>
      <c r="J2141" s="139" t="e">
        <f>VLOOKUP(H2141,Stock_list!A:S,17,FALSE)</f>
        <v>#N/A</v>
      </c>
      <c r="K2141" s="51" t="e">
        <f>VLOOKUP(H2141,Stock_list!A:T,16,FALSE)</f>
        <v>#N/A</v>
      </c>
      <c r="L2141" s="4">
        <v>44032</v>
      </c>
      <c r="M2141" s="132">
        <v>6</v>
      </c>
      <c r="P2141" s="4" t="e">
        <f>VLOOKUP(H2141,Stock_list!A:Y,25,FALSE)</f>
        <v>#N/A</v>
      </c>
      <c r="Q2141" s="143"/>
      <c r="T2141" s="144"/>
      <c r="U2141" s="145" t="e">
        <f>VLOOKUP(H2141,Stock_list!A:N,14,FALSE)</f>
        <v>#N/A</v>
      </c>
    </row>
    <row r="2142" spans="1:21" ht="16.5" customHeight="1">
      <c r="A2142" s="159" t="s">
        <v>265</v>
      </c>
      <c r="B2142" s="114" t="str">
        <f>VLOOKUP(A2142,'Data pick slip'!B:F,5,FALSE)</f>
        <v>KHJ-MC400-00</v>
      </c>
      <c r="F2142" s="157" t="s">
        <v>290</v>
      </c>
      <c r="H2142" s="138">
        <v>703</v>
      </c>
      <c r="I2142" s="139" t="e">
        <f>VLOOKUP(H2142,Stock_list!A:R,18,FALSE)</f>
        <v>#N/A</v>
      </c>
      <c r="J2142" s="139" t="e">
        <f>VLOOKUP(H2142,Stock_list!A:S,17,FALSE)</f>
        <v>#N/A</v>
      </c>
      <c r="K2142" s="51" t="e">
        <f>VLOOKUP(H2142,Stock_list!A:T,16,FALSE)</f>
        <v>#N/A</v>
      </c>
      <c r="L2142" s="4">
        <v>44032</v>
      </c>
      <c r="M2142" s="132">
        <v>2</v>
      </c>
      <c r="P2142" s="4" t="e">
        <f>VLOOKUP(H2142,Stock_list!A:Y,25,FALSE)</f>
        <v>#N/A</v>
      </c>
      <c r="Q2142" s="143"/>
      <c r="S2142" s="123" t="s">
        <v>521</v>
      </c>
      <c r="T2142" s="144" t="s">
        <v>831</v>
      </c>
      <c r="U2142" s="145" t="e">
        <f>VLOOKUP(H2142,Stock_list!A:N,14,FALSE)</f>
        <v>#N/A</v>
      </c>
    </row>
    <row r="2143" spans="1:21" ht="16.5" customHeight="1">
      <c r="A2143" s="159" t="s">
        <v>261</v>
      </c>
      <c r="B2143" s="114" t="str">
        <f>VLOOKUP(A2143,'Data pick slip'!B:F,5,FALSE)</f>
        <v>KHJ-MC100-00</v>
      </c>
      <c r="F2143" s="157" t="s">
        <v>290</v>
      </c>
      <c r="I2143" s="139" t="s">
        <v>611</v>
      </c>
      <c r="J2143" s="139" t="s">
        <v>832</v>
      </c>
      <c r="K2143" s="51" t="s">
        <v>225</v>
      </c>
      <c r="L2143" s="4">
        <v>44021</v>
      </c>
      <c r="M2143" s="140">
        <v>2</v>
      </c>
      <c r="P2143" s="4" t="s">
        <v>214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264</v>
      </c>
      <c r="B2144" s="114" t="str">
        <f>VLOOKUP(A2144,'Data pick slip'!B:F,5,FALSE)</f>
        <v>KHJ-MC200-00</v>
      </c>
      <c r="F2144" s="157" t="s">
        <v>290</v>
      </c>
      <c r="I2144" s="139" t="s">
        <v>611</v>
      </c>
      <c r="J2144" s="139" t="s">
        <v>832</v>
      </c>
      <c r="K2144" s="51" t="s">
        <v>225</v>
      </c>
      <c r="L2144" s="4">
        <v>44021</v>
      </c>
      <c r="M2144" s="140">
        <v>2</v>
      </c>
      <c r="P2144" s="4" t="s">
        <v>214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261</v>
      </c>
      <c r="B2145" s="114" t="str">
        <f>VLOOKUP(A2145,'Data pick slip'!B:F,5,FALSE)</f>
        <v>KHJ-MC100-00</v>
      </c>
      <c r="F2145" s="157" t="s">
        <v>379</v>
      </c>
      <c r="H2145" s="138">
        <v>706</v>
      </c>
      <c r="I2145" s="139" t="e">
        <f>VLOOKUP(H2145,Stock_list!A:R,18,FALSE)</f>
        <v>#N/A</v>
      </c>
      <c r="J2145" s="139" t="e">
        <f>VLOOKUP(H2145,Stock_list!A:S,17,FALSE)</f>
        <v>#N/A</v>
      </c>
      <c r="K2145" s="51" t="e">
        <f>VLOOKUP(H2145,Stock_list!A:T,16,FALSE)</f>
        <v>#N/A</v>
      </c>
      <c r="L2145" s="4">
        <v>44096</v>
      </c>
      <c r="M2145" s="132">
        <v>150</v>
      </c>
      <c r="P2145" s="4" t="e">
        <f>VLOOKUP(H2145,Stock_list!A:Y,25,FALSE)</f>
        <v>#N/A</v>
      </c>
      <c r="Q2145" s="133"/>
      <c r="T2145" s="144"/>
      <c r="U2145" s="145" t="e">
        <f>VLOOKUP(H2145,Stock_list!A:N,14,FALSE)</f>
        <v>#N/A</v>
      </c>
    </row>
    <row r="2146" spans="1:21" ht="16.5" customHeight="1">
      <c r="A2146" s="159" t="s">
        <v>264</v>
      </c>
      <c r="B2146" s="114" t="str">
        <f>VLOOKUP(A2146,'Data pick slip'!B:F,5,FALSE)</f>
        <v>KHJ-MC200-00</v>
      </c>
      <c r="F2146" s="157" t="s">
        <v>379</v>
      </c>
      <c r="H2146" s="138">
        <v>706</v>
      </c>
      <c r="I2146" s="139" t="e">
        <f>VLOOKUP(H2146,Stock_list!A:R,18,FALSE)</f>
        <v>#N/A</v>
      </c>
      <c r="J2146" s="139" t="e">
        <f>VLOOKUP(H2146,Stock_list!A:S,17,FALSE)</f>
        <v>#N/A</v>
      </c>
      <c r="K2146" s="51" t="e">
        <f>VLOOKUP(H2146,Stock_list!A:T,16,FALSE)</f>
        <v>#N/A</v>
      </c>
      <c r="L2146" s="4">
        <v>44096</v>
      </c>
      <c r="M2146" s="132">
        <v>30</v>
      </c>
      <c r="P2146" s="4" t="e">
        <f>VLOOKUP(H2146,Stock_list!A:Y,25,FALSE)</f>
        <v>#N/A</v>
      </c>
      <c r="Q2146" s="133"/>
      <c r="T2146" s="144"/>
      <c r="U2146" s="145" t="e">
        <f>VLOOKUP(H2146,Stock_list!A:N,14,FALSE)</f>
        <v>#N/A</v>
      </c>
    </row>
    <row r="2147" spans="1:21" ht="16.5" customHeight="1">
      <c r="A2147" s="159" t="s">
        <v>265</v>
      </c>
      <c r="B2147" s="114" t="str">
        <f>VLOOKUP(A2147,'Data pick slip'!B:F,5,FALSE)</f>
        <v>KHJ-MC400-00</v>
      </c>
      <c r="F2147" s="157" t="s">
        <v>379</v>
      </c>
      <c r="H2147" s="138">
        <v>706</v>
      </c>
      <c r="I2147" s="139" t="e">
        <f>VLOOKUP(H2147,Stock_list!A:R,18,FALSE)</f>
        <v>#N/A</v>
      </c>
      <c r="J2147" s="139" t="e">
        <f>VLOOKUP(H2147,Stock_list!A:S,17,FALSE)</f>
        <v>#N/A</v>
      </c>
      <c r="K2147" s="51" t="e">
        <f>VLOOKUP(H2147,Stock_list!A:T,16,FALSE)</f>
        <v>#N/A</v>
      </c>
      <c r="L2147" s="4">
        <v>44096</v>
      </c>
      <c r="M2147" s="132">
        <v>10</v>
      </c>
      <c r="P2147" s="4" t="e">
        <f>VLOOKUP(H2147,Stock_list!A:Y,25,FALSE)</f>
        <v>#N/A</v>
      </c>
      <c r="Q2147" s="133"/>
      <c r="T2147" s="144"/>
      <c r="U2147" s="145" t="e">
        <f>VLOOKUP(H2147,Stock_list!A:N,14,FALSE)</f>
        <v>#N/A</v>
      </c>
    </row>
    <row r="2148" spans="1:21" ht="16.5" customHeight="1">
      <c r="A2148" s="159" t="s">
        <v>266</v>
      </c>
      <c r="B2148" s="114" t="str">
        <f>VLOOKUP(A2148,'Data pick slip'!B:F,5,FALSE)</f>
        <v>KHJ-MC500-00</v>
      </c>
      <c r="F2148" s="157" t="s">
        <v>379</v>
      </c>
      <c r="H2148" s="138">
        <v>706</v>
      </c>
      <c r="I2148" s="139" t="e">
        <f>VLOOKUP(H2148,Stock_list!A:R,18,FALSE)</f>
        <v>#N/A</v>
      </c>
      <c r="J2148" s="139" t="e">
        <f>VLOOKUP(H2148,Stock_list!A:S,17,FALSE)</f>
        <v>#N/A</v>
      </c>
      <c r="K2148" s="51" t="e">
        <f>VLOOKUP(H2148,Stock_list!A:T,16,FALSE)</f>
        <v>#N/A</v>
      </c>
      <c r="L2148" s="4">
        <v>44096</v>
      </c>
      <c r="M2148" s="132">
        <v>5</v>
      </c>
      <c r="P2148" s="4" t="e">
        <f>VLOOKUP(H2148,Stock_list!A:Y,25,FALSE)</f>
        <v>#N/A</v>
      </c>
      <c r="Q2148" s="133"/>
      <c r="T2148" s="144"/>
      <c r="U2148" s="145" t="e">
        <f>VLOOKUP(H2148,Stock_list!A:N,14,FALSE)</f>
        <v>#N/A</v>
      </c>
    </row>
    <row r="2149" spans="1:21" ht="16.5" customHeight="1">
      <c r="A2149" s="159" t="s">
        <v>267</v>
      </c>
      <c r="B2149" s="114" t="str">
        <f>VLOOKUP(A2149,'Data pick slip'!B:F,5,FALSE)</f>
        <v>KHJ-MC600-00</v>
      </c>
      <c r="F2149" s="157" t="s">
        <v>379</v>
      </c>
      <c r="H2149" s="138">
        <v>706</v>
      </c>
      <c r="I2149" s="139" t="e">
        <f>VLOOKUP(H2149,Stock_list!A:R,18,FALSE)</f>
        <v>#N/A</v>
      </c>
      <c r="J2149" s="139" t="e">
        <f>VLOOKUP(H2149,Stock_list!A:S,17,FALSE)</f>
        <v>#N/A</v>
      </c>
      <c r="K2149" s="51" t="e">
        <f>VLOOKUP(H2149,Stock_list!A:T,16,FALSE)</f>
        <v>#N/A</v>
      </c>
      <c r="L2149" s="4">
        <v>44096</v>
      </c>
      <c r="M2149" s="132">
        <v>5</v>
      </c>
      <c r="P2149" s="4" t="e">
        <f>VLOOKUP(H2149,Stock_list!A:Y,25,FALSE)</f>
        <v>#N/A</v>
      </c>
      <c r="Q2149" s="133"/>
      <c r="T2149" s="144"/>
      <c r="U2149" s="145" t="e">
        <f>VLOOKUP(H2149,Stock_list!A:N,14,FALSE)</f>
        <v>#N/A</v>
      </c>
    </row>
    <row r="2150" spans="1:21" ht="16.5" customHeight="1">
      <c r="A2150" s="159" t="s">
        <v>268</v>
      </c>
      <c r="B2150" s="114" t="str">
        <f>VLOOKUP(A2150,'Data pick slip'!B:F,5,FALSE)</f>
        <v>KHJ-MC700-00</v>
      </c>
      <c r="F2150" s="157" t="s">
        <v>379</v>
      </c>
      <c r="H2150" s="138">
        <v>706</v>
      </c>
      <c r="I2150" s="139" t="e">
        <f>VLOOKUP(H2150,Stock_list!A:R,18,FALSE)</f>
        <v>#N/A</v>
      </c>
      <c r="J2150" s="139" t="e">
        <f>VLOOKUP(H2150,Stock_list!A:S,17,FALSE)</f>
        <v>#N/A</v>
      </c>
      <c r="K2150" s="51" t="e">
        <f>VLOOKUP(H2150,Stock_list!A:T,16,FALSE)</f>
        <v>#N/A</v>
      </c>
      <c r="L2150" s="4">
        <v>44096</v>
      </c>
      <c r="M2150" s="132">
        <v>2</v>
      </c>
      <c r="P2150" s="4" t="e">
        <f>VLOOKUP(H2150,Stock_list!A:Y,25,FALSE)</f>
        <v>#N/A</v>
      </c>
      <c r="Q2150" s="133"/>
      <c r="T2150" s="144"/>
      <c r="U2150" s="145" t="e">
        <f>VLOOKUP(H2150,Stock_list!A:N,14,FALSE)</f>
        <v>#N/A</v>
      </c>
    </row>
    <row r="2151" spans="1:21" ht="16.5" customHeight="1">
      <c r="A2151" s="159" t="s">
        <v>264</v>
      </c>
      <c r="B2151" s="114" t="str">
        <f>VLOOKUP(A2151,'Data pick slip'!B:F,5,FALSE)</f>
        <v>KHJ-MC200-00</v>
      </c>
      <c r="F2151" s="157" t="s">
        <v>379</v>
      </c>
      <c r="H2151" s="138">
        <v>710</v>
      </c>
      <c r="I2151" s="139" t="e">
        <f>VLOOKUP(H2151,Stock_list!A:R,18,FALSE)</f>
        <v>#N/A</v>
      </c>
      <c r="J2151" s="139" t="e">
        <f>VLOOKUP(H2151,Stock_list!A:S,17,FALSE)</f>
        <v>#N/A</v>
      </c>
      <c r="K2151" s="51" t="e">
        <f>VLOOKUP(H2151,Stock_list!A:T,16,FALSE)</f>
        <v>#N/A</v>
      </c>
      <c r="L2151" s="4">
        <v>44043</v>
      </c>
      <c r="M2151" s="132">
        <v>20</v>
      </c>
      <c r="P2151" s="4" t="e">
        <f>VLOOKUP(H2151,Stock_list!A:Y,25,FALSE)</f>
        <v>#N/A</v>
      </c>
      <c r="Q2151" s="143"/>
      <c r="T2151" s="144"/>
      <c r="U2151" s="145" t="e">
        <f>VLOOKUP(H2151,Stock_list!A:N,14,FALSE)</f>
        <v>#N/A</v>
      </c>
    </row>
    <row r="2152" spans="1:21" ht="16.5" customHeight="1">
      <c r="A2152" s="159" t="s">
        <v>265</v>
      </c>
      <c r="B2152" s="114" t="str">
        <f>VLOOKUP(A2152,'Data pick slip'!B:F,5,FALSE)</f>
        <v>KHJ-MC400-00</v>
      </c>
      <c r="F2152" s="157" t="s">
        <v>379</v>
      </c>
      <c r="H2152" s="138">
        <v>710</v>
      </c>
      <c r="I2152" s="139" t="e">
        <f>VLOOKUP(H2152,Stock_list!A:R,18,FALSE)</f>
        <v>#N/A</v>
      </c>
      <c r="J2152" s="139" t="e">
        <f>VLOOKUP(H2152,Stock_list!A:S,17,FALSE)</f>
        <v>#N/A</v>
      </c>
      <c r="K2152" s="51" t="e">
        <f>VLOOKUP(H2152,Stock_list!A:T,16,FALSE)</f>
        <v>#N/A</v>
      </c>
      <c r="L2152" s="4">
        <v>44043</v>
      </c>
      <c r="M2152" s="132">
        <v>1</v>
      </c>
      <c r="P2152" s="4" t="e">
        <f>VLOOKUP(H2152,Stock_list!A:Y,25,FALSE)</f>
        <v>#N/A</v>
      </c>
      <c r="Q2152" s="143"/>
      <c r="T2152" s="144"/>
      <c r="U2152" s="145" t="e">
        <f>VLOOKUP(H2152,Stock_list!A:N,14,FALSE)</f>
        <v>#N/A</v>
      </c>
    </row>
    <row r="2153" spans="1:21" ht="16.5" customHeight="1">
      <c r="A2153" s="159" t="s">
        <v>261</v>
      </c>
      <c r="B2153" s="114" t="str">
        <f>VLOOKUP(A2153,'Data pick slip'!B:F,5,FALSE)</f>
        <v>KHJ-MC100-00</v>
      </c>
      <c r="F2153" s="157" t="s">
        <v>379</v>
      </c>
      <c r="H2153" s="138">
        <v>718</v>
      </c>
      <c r="I2153" s="139" t="e">
        <f>VLOOKUP(H2153,Stock_list!A:R,18,FALSE)</f>
        <v>#N/A</v>
      </c>
      <c r="J2153" s="139" t="e">
        <f>VLOOKUP(H2153,Stock_list!A:S,17,FALSE)</f>
        <v>#N/A</v>
      </c>
      <c r="K2153" s="51" t="e">
        <f>VLOOKUP(H2153,Stock_list!A:T,16,FALSE)</f>
        <v>#N/A</v>
      </c>
      <c r="L2153" s="4">
        <v>44102</v>
      </c>
      <c r="M2153" s="140">
        <v>50</v>
      </c>
      <c r="P2153" s="4" t="e">
        <f>VLOOKUP(H2153,Stock_list!A:Y,25,FALSE)</f>
        <v>#N/A</v>
      </c>
      <c r="Q2153" s="143"/>
      <c r="T2153" s="144"/>
      <c r="U2153" s="145" t="e">
        <f>VLOOKUP(H2153,Stock_list!A:N,14,FALSE)</f>
        <v>#N/A</v>
      </c>
    </row>
    <row r="2154" spans="1:21" ht="16.5" customHeight="1">
      <c r="A2154" s="159" t="s">
        <v>265</v>
      </c>
      <c r="B2154" s="114" t="str">
        <f>VLOOKUP(A2154,'Data pick slip'!B:F,5,FALSE)</f>
        <v>KHJ-MC400-00</v>
      </c>
      <c r="F2154" s="157" t="s">
        <v>290</v>
      </c>
      <c r="H2154" s="138">
        <v>718</v>
      </c>
      <c r="I2154" s="139" t="e">
        <f>VLOOKUP(H2154,Stock_list!A:R,18,FALSE)</f>
        <v>#N/A</v>
      </c>
      <c r="J2154" s="139" t="e">
        <f>VLOOKUP(H2154,Stock_list!A:S,17,FALSE)</f>
        <v>#N/A</v>
      </c>
      <c r="K2154" s="51" t="e">
        <f>VLOOKUP(H2154,Stock_list!A:T,16,FALSE)</f>
        <v>#N/A</v>
      </c>
      <c r="L2154" s="4">
        <v>44102</v>
      </c>
      <c r="M2154" s="140">
        <v>2</v>
      </c>
      <c r="P2154" s="4" t="e">
        <f>VLOOKUP(H2154,Stock_list!A:Y,25,FALSE)</f>
        <v>#N/A</v>
      </c>
      <c r="Q2154" s="143"/>
      <c r="S2154" s="123" t="s">
        <v>521</v>
      </c>
      <c r="T2154" s="205" t="s">
        <v>827</v>
      </c>
      <c r="U2154" s="145" t="e">
        <f>VLOOKUP(H2154,Stock_list!A:N,14,FALSE)</f>
        <v>#N/A</v>
      </c>
    </row>
    <row r="2155" spans="1:21" ht="16.5" customHeight="1">
      <c r="A2155" s="159" t="s">
        <v>261</v>
      </c>
      <c r="B2155" s="114" t="str">
        <f>VLOOKUP(A2155,'Data pick slip'!B:F,5,FALSE)</f>
        <v>KHJ-MC100-00</v>
      </c>
      <c r="F2155" s="157" t="s">
        <v>379</v>
      </c>
      <c r="H2155" s="138">
        <v>719</v>
      </c>
      <c r="I2155" s="139" t="e">
        <f>VLOOKUP(H2155,Stock_list!A:R,18,FALSE)</f>
        <v>#N/A</v>
      </c>
      <c r="J2155" s="139" t="e">
        <f>VLOOKUP(H2155,Stock_list!A:S,17,FALSE)</f>
        <v>#N/A</v>
      </c>
      <c r="K2155" s="51" t="e">
        <f>VLOOKUP(H2155,Stock_list!A:T,16,FALSE)</f>
        <v>#N/A</v>
      </c>
      <c r="L2155" s="4">
        <v>44076</v>
      </c>
      <c r="M2155" s="132">
        <v>20</v>
      </c>
      <c r="P2155" s="4" t="e">
        <f>VLOOKUP(H2155,Stock_list!A:Y,25,FALSE)</f>
        <v>#N/A</v>
      </c>
      <c r="Q2155" s="133"/>
      <c r="T2155" s="144"/>
      <c r="U2155" s="145" t="e">
        <f>VLOOKUP(H2155,Stock_list!A:N,14,FALSE)</f>
        <v>#N/A</v>
      </c>
    </row>
    <row r="2156" spans="1:21" ht="16.5" customHeight="1">
      <c r="A2156" s="159" t="s">
        <v>264</v>
      </c>
      <c r="B2156" s="114" t="str">
        <f>VLOOKUP(A2156,'Data pick slip'!B:F,5,FALSE)</f>
        <v>KHJ-MC200-00</v>
      </c>
      <c r="F2156" s="157" t="s">
        <v>379</v>
      </c>
      <c r="H2156" s="138">
        <v>719</v>
      </c>
      <c r="I2156" s="139" t="e">
        <f>VLOOKUP(H2156,Stock_list!A:R,18,FALSE)</f>
        <v>#N/A</v>
      </c>
      <c r="J2156" s="139" t="e">
        <f>VLOOKUP(H2156,Stock_list!A:S,17,FALSE)</f>
        <v>#N/A</v>
      </c>
      <c r="K2156" s="51" t="e">
        <f>VLOOKUP(H2156,Stock_list!A:T,16,FALSE)</f>
        <v>#N/A</v>
      </c>
      <c r="L2156" s="4">
        <v>44076</v>
      </c>
      <c r="M2156" s="132">
        <v>4</v>
      </c>
      <c r="P2156" s="4" t="e">
        <f>VLOOKUP(H2156,Stock_list!A:Y,25,FALSE)</f>
        <v>#N/A</v>
      </c>
      <c r="Q2156" s="133"/>
      <c r="T2156" s="144"/>
      <c r="U2156" s="145" t="e">
        <f>VLOOKUP(H2156,Stock_list!A:N,14,FALSE)</f>
        <v>#N/A</v>
      </c>
    </row>
    <row r="2157" spans="1:21" ht="16.5" customHeight="1">
      <c r="A2157" s="159" t="s">
        <v>269</v>
      </c>
      <c r="B2157" s="114" t="str">
        <f>VLOOKUP(A2157,'Data pick slip'!B:F,5,FALSE)</f>
        <v>KHJ-MC800-00</v>
      </c>
      <c r="F2157" s="157" t="s">
        <v>290</v>
      </c>
      <c r="I2157" s="139" t="s">
        <v>804</v>
      </c>
      <c r="J2157" s="139" t="s">
        <v>833</v>
      </c>
      <c r="K2157" s="51" t="s">
        <v>225</v>
      </c>
      <c r="L2157" s="4">
        <v>44050</v>
      </c>
      <c r="M2157" s="140">
        <v>1</v>
      </c>
      <c r="P2157" s="4" t="s">
        <v>214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261</v>
      </c>
      <c r="B2158" s="114" t="str">
        <f>VLOOKUP(A2158,'Data pick slip'!B:F,5,FALSE)</f>
        <v>KHJ-MC100-00</v>
      </c>
      <c r="F2158" s="157" t="s">
        <v>379</v>
      </c>
      <c r="H2158" s="138">
        <v>721</v>
      </c>
      <c r="I2158" s="139" t="e">
        <f>VLOOKUP(H2158,Stock_list!A:R,18,FALSE)</f>
        <v>#N/A</v>
      </c>
      <c r="J2158" s="139" t="e">
        <f>VLOOKUP(H2158,Stock_list!A:S,17,FALSE)</f>
        <v>#N/A</v>
      </c>
      <c r="K2158" s="51" t="e">
        <f>VLOOKUP(H2158,Stock_list!A:T,16,FALSE)</f>
        <v>#N/A</v>
      </c>
      <c r="L2158" s="4">
        <v>44035</v>
      </c>
      <c r="M2158" s="140">
        <v>90</v>
      </c>
      <c r="P2158" s="4" t="e">
        <f>VLOOKUP(H2158,Stock_list!A:Y,25,FALSE)</f>
        <v>#N/A</v>
      </c>
      <c r="Q2158" s="143"/>
      <c r="T2158" s="144"/>
      <c r="U2158" s="145" t="e">
        <f>VLOOKUP(H2158,Stock_list!A:N,14,FALSE)</f>
        <v>#N/A</v>
      </c>
    </row>
    <row r="2159" spans="1:21" ht="16.5" customHeight="1">
      <c r="A2159" s="159" t="s">
        <v>264</v>
      </c>
      <c r="B2159" s="114" t="str">
        <f>VLOOKUP(A2159,'Data pick slip'!B:F,5,FALSE)</f>
        <v>KHJ-MC200-00</v>
      </c>
      <c r="F2159" s="157" t="s">
        <v>379</v>
      </c>
      <c r="H2159" s="138">
        <v>721</v>
      </c>
      <c r="I2159" s="139" t="e">
        <f>VLOOKUP(H2159,Stock_list!A:R,18,FALSE)</f>
        <v>#N/A</v>
      </c>
      <c r="J2159" s="139" t="e">
        <f>VLOOKUP(H2159,Stock_list!A:S,17,FALSE)</f>
        <v>#N/A</v>
      </c>
      <c r="K2159" s="51" t="e">
        <f>VLOOKUP(H2159,Stock_list!A:T,16,FALSE)</f>
        <v>#N/A</v>
      </c>
      <c r="L2159" s="4">
        <v>44035</v>
      </c>
      <c r="M2159" s="140">
        <v>50</v>
      </c>
      <c r="P2159" s="4" t="e">
        <f>VLOOKUP(H2159,Stock_list!A:Y,25,FALSE)</f>
        <v>#N/A</v>
      </c>
      <c r="Q2159" s="143"/>
      <c r="T2159" s="144"/>
      <c r="U2159" s="145" t="e">
        <f>VLOOKUP(H2159,Stock_list!A:N,14,FALSE)</f>
        <v>#N/A</v>
      </c>
    </row>
    <row r="2160" spans="1:21" ht="16.5" customHeight="1">
      <c r="A2160" s="159" t="s">
        <v>261</v>
      </c>
      <c r="B2160" s="114" t="str">
        <f>VLOOKUP(A2160,'Data pick slip'!B:F,5,FALSE)</f>
        <v>KHJ-MC100-00</v>
      </c>
      <c r="F2160" s="157" t="s">
        <v>290</v>
      </c>
      <c r="H2160" s="138">
        <v>721</v>
      </c>
      <c r="I2160" s="139" t="e">
        <f>VLOOKUP(H2160,Stock_list!A:R,18,FALSE)</f>
        <v>#N/A</v>
      </c>
      <c r="J2160" s="139" t="e">
        <f>VLOOKUP(H2160,Stock_list!A:S,17,FALSE)</f>
        <v>#N/A</v>
      </c>
      <c r="K2160" s="51" t="e">
        <f>VLOOKUP(H2160,Stock_list!A:T,16,FALSE)</f>
        <v>#N/A</v>
      </c>
      <c r="L2160" s="4">
        <v>44035</v>
      </c>
      <c r="O2160" s="132">
        <f>110-110</f>
        <v>0</v>
      </c>
      <c r="P2160" s="4" t="e">
        <f>VLOOKUP(H2160,Stock_list!A:Y,25,FALSE)</f>
        <v>#N/A</v>
      </c>
      <c r="Q2160" s="143"/>
      <c r="T2160" s="144"/>
      <c r="U2160" s="145" t="e">
        <f>VLOOKUP(H2160,Stock_list!A:N,14,FALSE)</f>
        <v>#N/A</v>
      </c>
    </row>
    <row r="2161" spans="1:21" ht="16.5" customHeight="1">
      <c r="A2161" s="159" t="s">
        <v>264</v>
      </c>
      <c r="B2161" s="114" t="str">
        <f>VLOOKUP(A2161,'Data pick slip'!B:F,5,FALSE)</f>
        <v>KHJ-MC200-00</v>
      </c>
      <c r="F2161" s="157" t="s">
        <v>290</v>
      </c>
      <c r="H2161" s="138">
        <v>721</v>
      </c>
      <c r="I2161" s="139" t="e">
        <f>VLOOKUP(H2161,Stock_list!A:R,18,FALSE)</f>
        <v>#N/A</v>
      </c>
      <c r="J2161" s="139" t="e">
        <f>VLOOKUP(H2161,Stock_list!A:S,17,FALSE)</f>
        <v>#N/A</v>
      </c>
      <c r="K2161" s="51" t="e">
        <f>VLOOKUP(H2161,Stock_list!A:T,16,FALSE)</f>
        <v>#N/A</v>
      </c>
      <c r="L2161" s="4">
        <v>44035</v>
      </c>
      <c r="O2161" s="132">
        <f>23-23</f>
        <v>0</v>
      </c>
      <c r="P2161" s="4" t="e">
        <f>VLOOKUP(H2161,Stock_list!A:Y,25,FALSE)</f>
        <v>#N/A</v>
      </c>
      <c r="Q2161" s="143"/>
      <c r="T2161" s="144"/>
      <c r="U2161" s="145" t="e">
        <f>VLOOKUP(H2161,Stock_list!A:N,14,FALSE)</f>
        <v>#N/A</v>
      </c>
    </row>
    <row r="2162" spans="1:21" ht="16.5" customHeight="1">
      <c r="A2162" s="159" t="s">
        <v>261</v>
      </c>
      <c r="B2162" s="114" t="str">
        <f>VLOOKUP(A2162,'Data pick slip'!B:F,5,FALSE)</f>
        <v>KHJ-MC100-00</v>
      </c>
      <c r="F2162" s="157" t="s">
        <v>379</v>
      </c>
      <c r="H2162" s="138">
        <v>722</v>
      </c>
      <c r="I2162" s="139" t="e">
        <f>VLOOKUP(H2162,Stock_list!A:R,18,FALSE)</f>
        <v>#N/A</v>
      </c>
      <c r="J2162" s="139" t="e">
        <f>VLOOKUP(H2162,Stock_list!A:S,17,FALSE)</f>
        <v>#N/A</v>
      </c>
      <c r="K2162" s="51" t="e">
        <f>VLOOKUP(H2162,Stock_list!A:T,16,FALSE)</f>
        <v>#N/A</v>
      </c>
      <c r="L2162" s="4">
        <v>44096</v>
      </c>
      <c r="M2162" s="140">
        <v>250</v>
      </c>
      <c r="P2162" s="4" t="e">
        <f>VLOOKUP(H2162,Stock_list!A:Y,25,FALSE)</f>
        <v>#N/A</v>
      </c>
      <c r="Q2162" s="143"/>
      <c r="T2162" s="144"/>
      <c r="U2162" s="145" t="e">
        <f>VLOOKUP(H2162,Stock_list!A:N,14,FALSE)</f>
        <v>#N/A</v>
      </c>
    </row>
    <row r="2163" spans="1:21" ht="16.5" customHeight="1">
      <c r="A2163" s="159" t="s">
        <v>261</v>
      </c>
      <c r="B2163" s="114" t="str">
        <f>VLOOKUP(A2163,'Data pick slip'!B:F,5,FALSE)</f>
        <v>KHJ-MC100-00</v>
      </c>
      <c r="F2163" s="157" t="s">
        <v>379</v>
      </c>
      <c r="H2163" s="138">
        <v>727</v>
      </c>
      <c r="I2163" s="139" t="e">
        <f>VLOOKUP(H2163,Stock_list!A:R,18,FALSE)</f>
        <v>#N/A</v>
      </c>
      <c r="J2163" s="139" t="e">
        <f>VLOOKUP(H2163,Stock_list!A:S,17,FALSE)</f>
        <v>#N/A</v>
      </c>
      <c r="K2163" s="51" t="e">
        <f>VLOOKUP(H2163,Stock_list!A:T,16,FALSE)</f>
        <v>#N/A</v>
      </c>
      <c r="L2163" s="4">
        <v>44061</v>
      </c>
      <c r="M2163" s="132">
        <v>30</v>
      </c>
      <c r="P2163" s="4" t="e">
        <f>VLOOKUP(H2163,Stock_list!A:Y,25,FALSE)</f>
        <v>#N/A</v>
      </c>
      <c r="Q2163" s="133"/>
      <c r="T2163" s="144"/>
      <c r="U2163" s="145" t="e">
        <f>VLOOKUP(H2163,Stock_list!A:N,14,FALSE)</f>
        <v>#N/A</v>
      </c>
    </row>
    <row r="2164" spans="1:21" ht="16.5" customHeight="1">
      <c r="A2164" s="159" t="s">
        <v>264</v>
      </c>
      <c r="B2164" s="114" t="str">
        <f>VLOOKUP(A2164,'Data pick slip'!B:F,5,FALSE)</f>
        <v>KHJ-MC200-00</v>
      </c>
      <c r="F2164" s="157" t="s">
        <v>379</v>
      </c>
      <c r="H2164" s="138">
        <v>727</v>
      </c>
      <c r="I2164" s="139" t="e">
        <f>VLOOKUP(H2164,Stock_list!A:R,18,FALSE)</f>
        <v>#N/A</v>
      </c>
      <c r="J2164" s="139" t="e">
        <f>VLOOKUP(H2164,Stock_list!A:S,17,FALSE)</f>
        <v>#N/A</v>
      </c>
      <c r="K2164" s="51" t="e">
        <f>VLOOKUP(H2164,Stock_list!A:T,16,FALSE)</f>
        <v>#N/A</v>
      </c>
      <c r="L2164" s="4">
        <v>44061</v>
      </c>
      <c r="M2164" s="132">
        <v>6</v>
      </c>
      <c r="P2164" s="4" t="e">
        <f>VLOOKUP(H2164,Stock_list!A:Y,25,FALSE)</f>
        <v>#N/A</v>
      </c>
      <c r="Q2164" s="133"/>
      <c r="T2164" s="144"/>
      <c r="U2164" s="145" t="e">
        <f>VLOOKUP(H2164,Stock_list!A:N,14,FALSE)</f>
        <v>#N/A</v>
      </c>
    </row>
    <row r="2165" spans="1:21" ht="16.5" customHeight="1">
      <c r="A2165" s="159" t="s">
        <v>264</v>
      </c>
      <c r="B2165" s="114" t="str">
        <f>VLOOKUP(A2165,'Data pick slip'!B:F,5,FALSE)</f>
        <v>KHJ-MC200-00</v>
      </c>
      <c r="F2165" s="157" t="s">
        <v>379</v>
      </c>
      <c r="H2165" s="138">
        <v>729</v>
      </c>
      <c r="I2165" s="139" t="e">
        <f>VLOOKUP(H2165,Stock_list!A:R,18,FALSE)</f>
        <v>#N/A</v>
      </c>
      <c r="J2165" s="139" t="e">
        <f>VLOOKUP(H2165,Stock_list!A:S,17,FALSE)</f>
        <v>#N/A</v>
      </c>
      <c r="K2165" s="51" t="e">
        <f>VLOOKUP(H2165,Stock_list!A:T,16,FALSE)</f>
        <v>#N/A</v>
      </c>
      <c r="L2165" s="4">
        <v>44071</v>
      </c>
      <c r="M2165" s="132">
        <v>5</v>
      </c>
      <c r="P2165" s="4" t="e">
        <f>VLOOKUP(H2165,Stock_list!A:Y,25,FALSE)</f>
        <v>#N/A</v>
      </c>
      <c r="Q2165" s="133"/>
      <c r="T2165" s="144"/>
      <c r="U2165" s="145" t="e">
        <f>VLOOKUP(H2165,Stock_list!A:N,14,FALSE)</f>
        <v>#N/A</v>
      </c>
    </row>
    <row r="2166" spans="1:21" ht="16.5" customHeight="1">
      <c r="A2166" s="159" t="s">
        <v>265</v>
      </c>
      <c r="B2166" s="114" t="str">
        <f>VLOOKUP(A2166,'Data pick slip'!B:F,5,FALSE)</f>
        <v>KHJ-MC400-00</v>
      </c>
      <c r="F2166" s="157" t="s">
        <v>379</v>
      </c>
      <c r="H2166" s="138">
        <v>729</v>
      </c>
      <c r="I2166" s="139" t="e">
        <f>VLOOKUP(H2166,Stock_list!A:R,18,FALSE)</f>
        <v>#N/A</v>
      </c>
      <c r="J2166" s="139" t="e">
        <f>VLOOKUP(H2166,Stock_list!A:S,17,FALSE)</f>
        <v>#N/A</v>
      </c>
      <c r="K2166" s="51" t="e">
        <f>VLOOKUP(H2166,Stock_list!A:T,16,FALSE)</f>
        <v>#N/A</v>
      </c>
      <c r="L2166" s="4">
        <v>44071</v>
      </c>
      <c r="M2166" s="132">
        <v>5</v>
      </c>
      <c r="P2166" s="4" t="e">
        <f>VLOOKUP(H2166,Stock_list!A:Y,25,FALSE)</f>
        <v>#N/A</v>
      </c>
      <c r="Q2166" s="133"/>
      <c r="T2166" s="144"/>
      <c r="U2166" s="145" t="e">
        <f>VLOOKUP(H2166,Stock_list!A:N,14,FALSE)</f>
        <v>#N/A</v>
      </c>
    </row>
    <row r="2167" spans="1:21" ht="16.5" customHeight="1">
      <c r="A2167" s="159" t="s">
        <v>266</v>
      </c>
      <c r="B2167" s="114" t="str">
        <f>VLOOKUP(A2167,'Data pick slip'!B:F,5,FALSE)</f>
        <v>KHJ-MC500-00</v>
      </c>
      <c r="F2167" s="157" t="s">
        <v>290</v>
      </c>
      <c r="I2167" s="139" t="s">
        <v>611</v>
      </c>
      <c r="J2167" s="139" t="s">
        <v>834</v>
      </c>
      <c r="K2167" s="51" t="s">
        <v>225</v>
      </c>
      <c r="L2167" s="4">
        <v>44033</v>
      </c>
      <c r="M2167" s="140">
        <v>1</v>
      </c>
      <c r="P2167" s="4" t="s">
        <v>214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261</v>
      </c>
      <c r="B2168" s="114" t="str">
        <f>VLOOKUP(A2168,'Data pick slip'!B:F,5,FALSE)</f>
        <v>KHJ-MC100-00</v>
      </c>
      <c r="F2168" s="157" t="s">
        <v>290</v>
      </c>
      <c r="I2168" s="139" t="s">
        <v>611</v>
      </c>
      <c r="J2168" s="139" t="s">
        <v>835</v>
      </c>
      <c r="K2168" s="51" t="s">
        <v>225</v>
      </c>
      <c r="L2168" s="4">
        <v>44032</v>
      </c>
      <c r="M2168" s="140">
        <v>50</v>
      </c>
      <c r="P2168" s="4" t="s">
        <v>214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265</v>
      </c>
      <c r="B2169" s="114" t="str">
        <f>VLOOKUP(A2169,'Data pick slip'!B:F,5,FALSE)</f>
        <v>KHJ-MC400-00</v>
      </c>
      <c r="F2169" s="157" t="s">
        <v>379</v>
      </c>
      <c r="I2169" s="139" t="s">
        <v>533</v>
      </c>
      <c r="J2169" s="139" t="s">
        <v>836</v>
      </c>
      <c r="K2169" s="51" t="s">
        <v>225</v>
      </c>
      <c r="L2169" s="4">
        <v>44034</v>
      </c>
      <c r="M2169" s="140">
        <v>17</v>
      </c>
      <c r="P2169" s="4" t="s">
        <v>214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271</v>
      </c>
      <c r="B2170" s="114" t="str">
        <f>VLOOKUP(A2170,'Data pick slip'!B:F,5,FALSE)</f>
        <v>KLJ-MCN00-20</v>
      </c>
      <c r="F2170" s="157" t="s">
        <v>379</v>
      </c>
      <c r="I2170" s="139" t="s">
        <v>533</v>
      </c>
      <c r="J2170" s="139" t="s">
        <v>836</v>
      </c>
      <c r="K2170" s="51" t="s">
        <v>225</v>
      </c>
      <c r="L2170" s="4">
        <v>44034</v>
      </c>
      <c r="M2170" s="140">
        <v>3</v>
      </c>
      <c r="P2170" s="4" t="s">
        <v>214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272</v>
      </c>
      <c r="B2171" s="114" t="str">
        <f>VLOOKUP(A2171,'Data pick slip'!B:F,5,FALSE)</f>
        <v>KLJ-MC100-00</v>
      </c>
      <c r="F2171" s="157" t="s">
        <v>379</v>
      </c>
      <c r="I2171" s="139" t="s">
        <v>533</v>
      </c>
      <c r="J2171" s="139" t="s">
        <v>836</v>
      </c>
      <c r="K2171" s="51" t="s">
        <v>225</v>
      </c>
      <c r="L2171" s="4">
        <v>44034</v>
      </c>
      <c r="M2171" s="140">
        <v>20</v>
      </c>
      <c r="P2171" s="4" t="s">
        <v>214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261</v>
      </c>
      <c r="B2172" s="114" t="str">
        <f>VLOOKUP(A2172,'Data pick slip'!B:F,5,FALSE)</f>
        <v>KHJ-MC100-00</v>
      </c>
      <c r="F2172" s="157" t="s">
        <v>379</v>
      </c>
      <c r="H2172" s="138">
        <v>731</v>
      </c>
      <c r="I2172" s="139" t="e">
        <f>VLOOKUP(H2172,Stock_list!A:R,18,FALSE)</f>
        <v>#N/A</v>
      </c>
      <c r="J2172" s="139" t="e">
        <f>VLOOKUP(H2172,Stock_list!A:S,17,FALSE)</f>
        <v>#N/A</v>
      </c>
      <c r="K2172" s="51" t="e">
        <f>VLOOKUP(H2172,Stock_list!A:T,16,FALSE)</f>
        <v>#N/A</v>
      </c>
      <c r="L2172" s="4">
        <v>44098</v>
      </c>
      <c r="M2172" s="132">
        <v>80</v>
      </c>
      <c r="P2172" s="4" t="e">
        <f>VLOOKUP(H2172,Stock_list!A:Y,25,FALSE)</f>
        <v>#N/A</v>
      </c>
      <c r="Q2172" s="133"/>
      <c r="T2172" s="144"/>
      <c r="U2172" s="145" t="e">
        <f>VLOOKUP(H2172,Stock_list!A:N,14,FALSE)</f>
        <v>#N/A</v>
      </c>
    </row>
    <row r="2173" spans="1:21" ht="16.5" customHeight="1">
      <c r="A2173" s="159" t="s">
        <v>264</v>
      </c>
      <c r="B2173" s="114" t="str">
        <f>VLOOKUP(A2173,'Data pick slip'!B:F,5,FALSE)</f>
        <v>KHJ-MC200-00</v>
      </c>
      <c r="F2173" s="157" t="s">
        <v>379</v>
      </c>
      <c r="H2173" s="138">
        <v>731</v>
      </c>
      <c r="I2173" s="139" t="e">
        <f>VLOOKUP(H2173,Stock_list!A:R,18,FALSE)</f>
        <v>#N/A</v>
      </c>
      <c r="J2173" s="139" t="e">
        <f>VLOOKUP(H2173,Stock_list!A:S,17,FALSE)</f>
        <v>#N/A</v>
      </c>
      <c r="K2173" s="51" t="e">
        <f>VLOOKUP(H2173,Stock_list!A:T,16,FALSE)</f>
        <v>#N/A</v>
      </c>
      <c r="L2173" s="4">
        <v>44098</v>
      </c>
      <c r="M2173" s="132">
        <v>20</v>
      </c>
      <c r="P2173" s="4" t="e">
        <f>VLOOKUP(H2173,Stock_list!A:Y,25,FALSE)</f>
        <v>#N/A</v>
      </c>
      <c r="Q2173" s="133"/>
      <c r="T2173" s="144"/>
      <c r="U2173" s="145" t="e">
        <f>VLOOKUP(H2173,Stock_list!A:N,14,FALSE)</f>
        <v>#N/A</v>
      </c>
    </row>
    <row r="2174" spans="1:21" ht="16.5" customHeight="1">
      <c r="A2174" s="159" t="s">
        <v>265</v>
      </c>
      <c r="B2174" s="114" t="str">
        <f>VLOOKUP(A2174,'Data pick slip'!B:F,5,FALSE)</f>
        <v>KHJ-MC400-00</v>
      </c>
      <c r="F2174" s="157" t="s">
        <v>379</v>
      </c>
      <c r="H2174" s="138">
        <v>731</v>
      </c>
      <c r="I2174" s="139" t="e">
        <f>VLOOKUP(H2174,Stock_list!A:R,18,FALSE)</f>
        <v>#N/A</v>
      </c>
      <c r="J2174" s="139" t="e">
        <f>VLOOKUP(H2174,Stock_list!A:S,17,FALSE)</f>
        <v>#N/A</v>
      </c>
      <c r="K2174" s="51" t="e">
        <f>VLOOKUP(H2174,Stock_list!A:T,16,FALSE)</f>
        <v>#N/A</v>
      </c>
      <c r="L2174" s="4">
        <v>44098</v>
      </c>
      <c r="M2174" s="132">
        <v>3</v>
      </c>
      <c r="P2174" s="4" t="e">
        <f>VLOOKUP(H2174,Stock_list!A:Y,25,FALSE)</f>
        <v>#N/A</v>
      </c>
      <c r="Q2174" s="133"/>
      <c r="T2174" s="144"/>
      <c r="U2174" s="145" t="e">
        <f>VLOOKUP(H2174,Stock_list!A:N,14,FALSE)</f>
        <v>#N/A</v>
      </c>
    </row>
    <row r="2175" spans="1:21" ht="16.5" customHeight="1">
      <c r="A2175" s="159" t="s">
        <v>266</v>
      </c>
      <c r="B2175" s="114" t="str">
        <f>VLOOKUP(A2175,'Data pick slip'!B:F,5,FALSE)</f>
        <v>KHJ-MC500-00</v>
      </c>
      <c r="F2175" s="157" t="s">
        <v>379</v>
      </c>
      <c r="H2175" s="138">
        <v>731</v>
      </c>
      <c r="I2175" s="139" t="e">
        <f>VLOOKUP(H2175,Stock_list!A:R,18,FALSE)</f>
        <v>#N/A</v>
      </c>
      <c r="J2175" s="139" t="e">
        <f>VLOOKUP(H2175,Stock_list!A:S,17,FALSE)</f>
        <v>#N/A</v>
      </c>
      <c r="K2175" s="51" t="e">
        <f>VLOOKUP(H2175,Stock_list!A:T,16,FALSE)</f>
        <v>#N/A</v>
      </c>
      <c r="L2175" s="4">
        <v>44098</v>
      </c>
      <c r="M2175" s="132">
        <v>2</v>
      </c>
      <c r="P2175" s="4" t="e">
        <f>VLOOKUP(H2175,Stock_list!A:Y,25,FALSE)</f>
        <v>#N/A</v>
      </c>
      <c r="Q2175" s="133"/>
      <c r="T2175" s="144"/>
      <c r="U2175" s="145" t="e">
        <f>VLOOKUP(H2175,Stock_list!A:N,14,FALSE)</f>
        <v>#N/A</v>
      </c>
    </row>
    <row r="2176" spans="1:21" ht="16.5" customHeight="1">
      <c r="A2176" s="159" t="s">
        <v>267</v>
      </c>
      <c r="B2176" s="114" t="str">
        <f>VLOOKUP(A2176,'Data pick slip'!B:F,5,FALSE)</f>
        <v>KHJ-MC600-00</v>
      </c>
      <c r="F2176" s="157" t="s">
        <v>379</v>
      </c>
      <c r="H2176" s="138">
        <v>731</v>
      </c>
      <c r="I2176" s="139" t="e">
        <f>VLOOKUP(H2176,Stock_list!A:R,18,FALSE)</f>
        <v>#N/A</v>
      </c>
      <c r="J2176" s="139" t="e">
        <f>VLOOKUP(H2176,Stock_list!A:S,17,FALSE)</f>
        <v>#N/A</v>
      </c>
      <c r="K2176" s="51" t="e">
        <f>VLOOKUP(H2176,Stock_list!A:T,16,FALSE)</f>
        <v>#N/A</v>
      </c>
      <c r="L2176" s="4">
        <v>44098</v>
      </c>
      <c r="M2176" s="132">
        <v>2</v>
      </c>
      <c r="P2176" s="4" t="e">
        <f>VLOOKUP(H2176,Stock_list!A:Y,25,FALSE)</f>
        <v>#N/A</v>
      </c>
      <c r="Q2176" s="133"/>
      <c r="T2176" s="144"/>
      <c r="U2176" s="145" t="e">
        <f>VLOOKUP(H2176,Stock_list!A:N,14,FALSE)</f>
        <v>#N/A</v>
      </c>
    </row>
    <row r="2177" spans="1:21" ht="16.5" customHeight="1">
      <c r="A2177" s="159" t="s">
        <v>261</v>
      </c>
      <c r="B2177" s="114" t="str">
        <f>VLOOKUP(A2177,'Data pick slip'!B:F,5,FALSE)</f>
        <v>KHJ-MC100-00</v>
      </c>
      <c r="F2177" s="157" t="s">
        <v>290</v>
      </c>
      <c r="H2177" s="138">
        <v>733</v>
      </c>
      <c r="I2177" s="139" t="e">
        <f>VLOOKUP(H2177,Stock_list!A:R,18,FALSE)</f>
        <v>#N/A</v>
      </c>
      <c r="J2177" s="139" t="e">
        <f>VLOOKUP(H2177,Stock_list!A:S,17,FALSE)</f>
        <v>#N/A</v>
      </c>
      <c r="K2177" s="51" t="e">
        <f>VLOOKUP(H2177,Stock_list!A:T,16,FALSE)</f>
        <v>#N/A</v>
      </c>
      <c r="L2177" s="4">
        <v>44040</v>
      </c>
      <c r="M2177" s="132">
        <v>8</v>
      </c>
      <c r="P2177" s="4" t="e">
        <f>VLOOKUP(H2177,Stock_list!A:Y,25,FALSE)</f>
        <v>#N/A</v>
      </c>
      <c r="Q2177" s="133"/>
      <c r="T2177" s="144"/>
      <c r="U2177" s="145" t="e">
        <f>VLOOKUP(H2177,Stock_list!A:N,14,FALSE)</f>
        <v>#N/A</v>
      </c>
    </row>
    <row r="2178" spans="1:21" ht="16.5" customHeight="1">
      <c r="A2178" s="159" t="s">
        <v>264</v>
      </c>
      <c r="B2178" s="114" t="str">
        <f>VLOOKUP(A2178,'Data pick slip'!B:F,5,FALSE)</f>
        <v>KHJ-MC200-00</v>
      </c>
      <c r="F2178" s="157" t="s">
        <v>290</v>
      </c>
      <c r="H2178" s="138">
        <v>733</v>
      </c>
      <c r="I2178" s="139" t="e">
        <f>VLOOKUP(H2178,Stock_list!A:R,18,FALSE)</f>
        <v>#N/A</v>
      </c>
      <c r="J2178" s="139" t="e">
        <f>VLOOKUP(H2178,Stock_list!A:S,17,FALSE)</f>
        <v>#N/A</v>
      </c>
      <c r="K2178" s="51" t="e">
        <f>VLOOKUP(H2178,Stock_list!A:T,16,FALSE)</f>
        <v>#N/A</v>
      </c>
      <c r="L2178" s="4">
        <v>44040</v>
      </c>
      <c r="M2178" s="132">
        <v>4</v>
      </c>
      <c r="P2178" s="4" t="e">
        <f>VLOOKUP(H2178,Stock_list!A:Y,25,FALSE)</f>
        <v>#N/A</v>
      </c>
      <c r="Q2178" s="133"/>
      <c r="T2178" s="144"/>
      <c r="U2178" s="145" t="e">
        <f>VLOOKUP(H2178,Stock_list!A:N,14,FALSE)</f>
        <v>#N/A</v>
      </c>
    </row>
    <row r="2179" spans="1:21" ht="16.5" customHeight="1">
      <c r="A2179" s="159" t="s">
        <v>265</v>
      </c>
      <c r="B2179" s="114" t="str">
        <f>VLOOKUP(A2179,'Data pick slip'!B:F,5,FALSE)</f>
        <v>KHJ-MC400-00</v>
      </c>
      <c r="F2179" s="157" t="s">
        <v>290</v>
      </c>
      <c r="H2179" s="138">
        <v>733</v>
      </c>
      <c r="I2179" s="139" t="e">
        <f>VLOOKUP(H2179,Stock_list!A:R,18,FALSE)</f>
        <v>#N/A</v>
      </c>
      <c r="J2179" s="139" t="e">
        <f>VLOOKUP(H2179,Stock_list!A:S,17,FALSE)</f>
        <v>#N/A</v>
      </c>
      <c r="K2179" s="51" t="e">
        <f>VLOOKUP(H2179,Stock_list!A:T,16,FALSE)</f>
        <v>#N/A</v>
      </c>
      <c r="L2179" s="4">
        <v>44040</v>
      </c>
      <c r="M2179" s="132">
        <v>3</v>
      </c>
      <c r="P2179" s="4" t="e">
        <f>VLOOKUP(H2179,Stock_list!A:Y,25,FALSE)</f>
        <v>#N/A</v>
      </c>
      <c r="Q2179" s="133"/>
      <c r="T2179" s="144"/>
      <c r="U2179" s="145" t="e">
        <f>VLOOKUP(H2179,Stock_list!A:N,14,FALSE)</f>
        <v>#N/A</v>
      </c>
    </row>
    <row r="2180" spans="1:21" ht="16.5" customHeight="1">
      <c r="A2180" s="159" t="s">
        <v>261</v>
      </c>
      <c r="B2180" s="114" t="str">
        <f>VLOOKUP(A2180,'Data pick slip'!B:F,5,FALSE)</f>
        <v>KHJ-MC100-00</v>
      </c>
      <c r="F2180" s="157" t="s">
        <v>379</v>
      </c>
      <c r="H2180" s="138">
        <v>734</v>
      </c>
      <c r="I2180" s="139" t="e">
        <f>VLOOKUP(H2180,Stock_list!A:R,18,FALSE)</f>
        <v>#N/A</v>
      </c>
      <c r="J2180" s="139" t="e">
        <f>VLOOKUP(H2180,Stock_list!A:S,17,FALSE)</f>
        <v>#N/A</v>
      </c>
      <c r="K2180" s="51" t="e">
        <f>VLOOKUP(H2180,Stock_list!A:T,16,FALSE)</f>
        <v>#N/A</v>
      </c>
      <c r="L2180" s="4">
        <v>44138</v>
      </c>
      <c r="M2180" s="132">
        <v>8</v>
      </c>
      <c r="P2180" s="4" t="e">
        <f>VLOOKUP(H2180,Stock_list!A:Y,25,FALSE)</f>
        <v>#N/A</v>
      </c>
      <c r="Q2180" s="133"/>
      <c r="T2180" s="144"/>
      <c r="U2180" s="145" t="e">
        <f>VLOOKUP(H2180,Stock_list!A:N,14,FALSE)</f>
        <v>#N/A</v>
      </c>
    </row>
    <row r="2181" spans="1:21" ht="16.5" customHeight="1">
      <c r="A2181" s="159" t="s">
        <v>264</v>
      </c>
      <c r="B2181" s="114" t="str">
        <f>VLOOKUP(A2181,'Data pick slip'!B:F,5,FALSE)</f>
        <v>KHJ-MC200-00</v>
      </c>
      <c r="F2181" s="157" t="s">
        <v>379</v>
      </c>
      <c r="H2181" s="138">
        <v>734</v>
      </c>
      <c r="I2181" s="139" t="e">
        <f>VLOOKUP(H2181,Stock_list!A:R,18,FALSE)</f>
        <v>#N/A</v>
      </c>
      <c r="J2181" s="139" t="e">
        <f>VLOOKUP(H2181,Stock_list!A:S,17,FALSE)</f>
        <v>#N/A</v>
      </c>
      <c r="K2181" s="51" t="e">
        <f>VLOOKUP(H2181,Stock_list!A:T,16,FALSE)</f>
        <v>#N/A</v>
      </c>
      <c r="L2181" s="4">
        <v>44138</v>
      </c>
      <c r="M2181" s="132">
        <v>4</v>
      </c>
      <c r="P2181" s="4" t="e">
        <f>VLOOKUP(H2181,Stock_list!A:Y,25,FALSE)</f>
        <v>#N/A</v>
      </c>
      <c r="Q2181" s="133"/>
      <c r="T2181" s="144"/>
      <c r="U2181" s="145" t="e">
        <f>VLOOKUP(H2181,Stock_list!A:N,14,FALSE)</f>
        <v>#N/A</v>
      </c>
    </row>
    <row r="2182" spans="1:21" ht="16.5" customHeight="1">
      <c r="A2182" s="159" t="s">
        <v>265</v>
      </c>
      <c r="B2182" s="114" t="str">
        <f>VLOOKUP(A2182,'Data pick slip'!B:F,5,FALSE)</f>
        <v>KHJ-MC400-00</v>
      </c>
      <c r="F2182" s="157" t="s">
        <v>379</v>
      </c>
      <c r="H2182" s="138">
        <v>734</v>
      </c>
      <c r="I2182" s="139" t="e">
        <f>VLOOKUP(H2182,Stock_list!A:R,18,FALSE)</f>
        <v>#N/A</v>
      </c>
      <c r="J2182" s="139" t="e">
        <f>VLOOKUP(H2182,Stock_list!A:S,17,FALSE)</f>
        <v>#N/A</v>
      </c>
      <c r="K2182" s="51" t="e">
        <f>VLOOKUP(H2182,Stock_list!A:T,16,FALSE)</f>
        <v>#N/A</v>
      </c>
      <c r="L2182" s="4">
        <v>44138</v>
      </c>
      <c r="M2182" s="132">
        <v>3</v>
      </c>
      <c r="N2182" s="149"/>
      <c r="P2182" s="4" t="e">
        <f>VLOOKUP(H2182,Stock_list!A:Y,25,FALSE)</f>
        <v>#N/A</v>
      </c>
      <c r="Q2182" s="133"/>
      <c r="T2182" s="144"/>
      <c r="U2182" s="145" t="e">
        <f>VLOOKUP(H2182,Stock_list!A:N,14,FALSE)</f>
        <v>#N/A</v>
      </c>
    </row>
    <row r="2183" spans="1:21" ht="16.5" customHeight="1">
      <c r="A2183" s="159" t="s">
        <v>261</v>
      </c>
      <c r="B2183" s="114" t="str">
        <f>VLOOKUP(A2183,'Data pick slip'!B:F,5,FALSE)</f>
        <v>KHJ-MC100-00</v>
      </c>
      <c r="F2183" s="157" t="s">
        <v>290</v>
      </c>
      <c r="H2183" s="138">
        <v>734</v>
      </c>
      <c r="I2183" s="139" t="e">
        <f>VLOOKUP(H2183,Stock_list!A:R,18,FALSE)</f>
        <v>#N/A</v>
      </c>
      <c r="J2183" s="139" t="e">
        <f>VLOOKUP(H2183,Stock_list!A:S,17,FALSE)</f>
        <v>#N/A</v>
      </c>
      <c r="K2183" s="51" t="e">
        <f>VLOOKUP(H2183,Stock_list!A:T,16,FALSE)</f>
        <v>#N/A</v>
      </c>
      <c r="L2183" s="4">
        <v>44097</v>
      </c>
      <c r="O2183" s="132">
        <f>8-8</f>
        <v>0</v>
      </c>
      <c r="P2183" s="4" t="e">
        <f>VLOOKUP(H2183,Stock_list!A:Y,25,FALSE)</f>
        <v>#N/A</v>
      </c>
      <c r="Q2183" s="133"/>
      <c r="T2183" s="144"/>
      <c r="U2183" s="145" t="e">
        <f>VLOOKUP(H2183,Stock_list!A:N,14,FALSE)</f>
        <v>#N/A</v>
      </c>
    </row>
    <row r="2184" spans="1:21" ht="16.5" customHeight="1">
      <c r="A2184" s="159" t="s">
        <v>264</v>
      </c>
      <c r="B2184" s="114" t="str">
        <f>VLOOKUP(A2184,'Data pick slip'!B:F,5,FALSE)</f>
        <v>KHJ-MC200-00</v>
      </c>
      <c r="F2184" s="157" t="s">
        <v>290</v>
      </c>
      <c r="H2184" s="138">
        <v>734</v>
      </c>
      <c r="I2184" s="139" t="e">
        <f>VLOOKUP(H2184,Stock_list!A:R,18,FALSE)</f>
        <v>#N/A</v>
      </c>
      <c r="J2184" s="139" t="e">
        <f>VLOOKUP(H2184,Stock_list!A:S,17,FALSE)</f>
        <v>#N/A</v>
      </c>
      <c r="K2184" s="51" t="e">
        <f>VLOOKUP(H2184,Stock_list!A:T,16,FALSE)</f>
        <v>#N/A</v>
      </c>
      <c r="L2184" s="4">
        <v>44097</v>
      </c>
      <c r="O2184" s="132">
        <f>4-4</f>
        <v>0</v>
      </c>
      <c r="P2184" s="4" t="e">
        <f>VLOOKUP(H2184,Stock_list!A:Y,25,FALSE)</f>
        <v>#N/A</v>
      </c>
      <c r="Q2184" s="133"/>
      <c r="T2184" s="144"/>
      <c r="U2184" s="145" t="e">
        <f>VLOOKUP(H2184,Stock_list!A:N,14,FALSE)</f>
        <v>#N/A</v>
      </c>
    </row>
    <row r="2185" spans="1:21" ht="16.5" customHeight="1">
      <c r="A2185" s="159" t="s">
        <v>265</v>
      </c>
      <c r="B2185" s="114" t="str">
        <f>VLOOKUP(A2185,'Data pick slip'!B:F,5,FALSE)</f>
        <v>KHJ-MC400-00</v>
      </c>
      <c r="F2185" s="157" t="s">
        <v>290</v>
      </c>
      <c r="H2185" s="138">
        <v>734</v>
      </c>
      <c r="I2185" s="139" t="e">
        <f>VLOOKUP(H2185,Stock_list!A:R,18,FALSE)</f>
        <v>#N/A</v>
      </c>
      <c r="J2185" s="139" t="e">
        <f>VLOOKUP(H2185,Stock_list!A:S,17,FALSE)</f>
        <v>#N/A</v>
      </c>
      <c r="K2185" s="51" t="e">
        <f>VLOOKUP(H2185,Stock_list!A:T,16,FALSE)</f>
        <v>#N/A</v>
      </c>
      <c r="L2185" s="4">
        <v>44097</v>
      </c>
      <c r="O2185" s="132">
        <f>3-3</f>
        <v>0</v>
      </c>
      <c r="P2185" s="4" t="e">
        <f>VLOOKUP(H2185,Stock_list!A:Y,25,FALSE)</f>
        <v>#N/A</v>
      </c>
      <c r="Q2185" s="133"/>
      <c r="T2185" s="144"/>
      <c r="U2185" s="145" t="e">
        <f>VLOOKUP(H2185,Stock_list!A:N,14,FALSE)</f>
        <v>#N/A</v>
      </c>
    </row>
    <row r="2186" spans="1:21" ht="16.5" customHeight="1">
      <c r="A2186" s="159" t="s">
        <v>264</v>
      </c>
      <c r="B2186" s="114" t="str">
        <f>VLOOKUP(A2186,'Data pick slip'!B:F,5,FALSE)</f>
        <v>KHJ-MC200-00</v>
      </c>
      <c r="F2186" s="157" t="s">
        <v>290</v>
      </c>
      <c r="I2186" s="139" t="s">
        <v>804</v>
      </c>
      <c r="J2186" s="139" t="s">
        <v>837</v>
      </c>
      <c r="K2186" s="51" t="s">
        <v>225</v>
      </c>
      <c r="L2186" s="4">
        <v>44028</v>
      </c>
      <c r="M2186" s="140">
        <v>5</v>
      </c>
      <c r="P2186" s="4" t="s">
        <v>214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261</v>
      </c>
      <c r="B2187" s="114" t="str">
        <f>VLOOKUP(A2187,'Data pick slip'!B:F,5,FALSE)</f>
        <v>KHJ-MC100-00</v>
      </c>
      <c r="F2187" s="157" t="s">
        <v>379</v>
      </c>
      <c r="H2187" s="138">
        <v>736</v>
      </c>
      <c r="I2187" s="139" t="e">
        <f>VLOOKUP(H2187,Stock_list!A:R,18,FALSE)</f>
        <v>#N/A</v>
      </c>
      <c r="J2187" s="139" t="e">
        <f>VLOOKUP(H2187,Stock_list!A:S,17,FALSE)</f>
        <v>#N/A</v>
      </c>
      <c r="K2187" s="51" t="e">
        <f>VLOOKUP(H2187,Stock_list!A:T,16,FALSE)</f>
        <v>#N/A</v>
      </c>
      <c r="L2187" s="4">
        <v>44098</v>
      </c>
      <c r="M2187" s="140">
        <v>4</v>
      </c>
      <c r="P2187" s="4" t="e">
        <f>VLOOKUP(H2187,Stock_list!A:Y,25,FALSE)</f>
        <v>#N/A</v>
      </c>
      <c r="Q2187" s="133"/>
      <c r="T2187" s="144"/>
      <c r="U2187" s="145" t="e">
        <f>VLOOKUP(H2187,Stock_list!A:N,14,FALSE)</f>
        <v>#N/A</v>
      </c>
    </row>
    <row r="2188" spans="1:21" ht="16.5" customHeight="1">
      <c r="A2188" s="159" t="s">
        <v>272</v>
      </c>
      <c r="B2188" s="114" t="str">
        <f>VLOOKUP(A2188,'Data pick slip'!B:F,5,FALSE)</f>
        <v>KLJ-MC100-00</v>
      </c>
      <c r="F2188" s="157" t="s">
        <v>379</v>
      </c>
      <c r="H2188" s="138">
        <v>739</v>
      </c>
      <c r="I2188" s="139" t="e">
        <f>VLOOKUP(H2188,Stock_list!A:R,18,FALSE)</f>
        <v>#N/A</v>
      </c>
      <c r="J2188" s="139" t="e">
        <f>VLOOKUP(H2188,Stock_list!A:S,17,FALSE)</f>
        <v>#N/A</v>
      </c>
      <c r="K2188" s="51" t="e">
        <f>VLOOKUP(H2188,Stock_list!A:T,16,FALSE)</f>
        <v>#N/A</v>
      </c>
      <c r="L2188" s="4">
        <v>44315</v>
      </c>
      <c r="M2188" s="132">
        <v>75</v>
      </c>
      <c r="P2188" s="4" t="e">
        <f>VLOOKUP(H2188,Stock_list!A:Y,25,FALSE)</f>
        <v>#N/A</v>
      </c>
      <c r="Q2188" s="143"/>
      <c r="T2188" s="144"/>
      <c r="U2188" s="145" t="e">
        <f>VLOOKUP(H2188,Stock_list!A:N,14,FALSE)</f>
        <v>#N/A</v>
      </c>
    </row>
    <row r="2189" spans="1:21" ht="16.5" customHeight="1">
      <c r="A2189" s="159" t="s">
        <v>273</v>
      </c>
      <c r="B2189" s="114" t="str">
        <f>VLOOKUP(A2189,'Data pick slip'!B:F,5,FALSE)</f>
        <v>KLJ-MC200-00</v>
      </c>
      <c r="F2189" s="157" t="s">
        <v>379</v>
      </c>
      <c r="H2189" s="138">
        <v>739</v>
      </c>
      <c r="I2189" s="139" t="e">
        <f>VLOOKUP(H2189,Stock_list!A:R,18,FALSE)</f>
        <v>#N/A</v>
      </c>
      <c r="J2189" s="139" t="e">
        <f>VLOOKUP(H2189,Stock_list!A:S,17,FALSE)</f>
        <v>#N/A</v>
      </c>
      <c r="K2189" s="51" t="e">
        <f>VLOOKUP(H2189,Stock_list!A:T,16,FALSE)</f>
        <v>#N/A</v>
      </c>
      <c r="L2189" s="4">
        <v>44315</v>
      </c>
      <c r="M2189" s="132">
        <v>10</v>
      </c>
      <c r="P2189" s="4" t="e">
        <f>VLOOKUP(H2189,Stock_list!A:Y,25,FALSE)</f>
        <v>#N/A</v>
      </c>
      <c r="T2189" s="144"/>
      <c r="U2189" s="145" t="e">
        <f>VLOOKUP(H2189,Stock_list!A:N,14,FALSE)</f>
        <v>#N/A</v>
      </c>
    </row>
    <row r="2190" spans="1:21" ht="16.5" customHeight="1">
      <c r="A2190" s="159" t="s">
        <v>274</v>
      </c>
      <c r="B2190" s="114" t="str">
        <f>VLOOKUP(A2190,'Data pick slip'!B:F,5,FALSE)</f>
        <v>KLJ-MC400-00</v>
      </c>
      <c r="F2190" s="157" t="s">
        <v>379</v>
      </c>
      <c r="H2190" s="138">
        <v>739</v>
      </c>
      <c r="I2190" s="139" t="e">
        <f>VLOOKUP(H2190,Stock_list!A:R,18,FALSE)</f>
        <v>#N/A</v>
      </c>
      <c r="J2190" s="139" t="e">
        <f>VLOOKUP(H2190,Stock_list!A:S,17,FALSE)</f>
        <v>#N/A</v>
      </c>
      <c r="K2190" s="51" t="e">
        <f>VLOOKUP(H2190,Stock_list!A:T,16,FALSE)</f>
        <v>#N/A</v>
      </c>
      <c r="L2190" s="4">
        <v>44315</v>
      </c>
      <c r="M2190" s="132">
        <v>2</v>
      </c>
      <c r="P2190" s="4" t="e">
        <f>VLOOKUP(H2190,Stock_list!A:Y,25,FALSE)</f>
        <v>#N/A</v>
      </c>
      <c r="Q2190" s="143"/>
      <c r="T2190" s="144"/>
      <c r="U2190" s="145" t="e">
        <f>VLOOKUP(H2190,Stock_list!A:N,14,FALSE)</f>
        <v>#N/A</v>
      </c>
    </row>
    <row r="2191" spans="1:21" ht="16.5" customHeight="1">
      <c r="A2191" s="159" t="s">
        <v>261</v>
      </c>
      <c r="B2191" s="114" t="str">
        <f>VLOOKUP(A2191,'Data pick slip'!B:F,5,FALSE)</f>
        <v>KHJ-MC100-00</v>
      </c>
      <c r="F2191" s="157" t="s">
        <v>379</v>
      </c>
      <c r="H2191" s="138">
        <v>742</v>
      </c>
      <c r="I2191" s="139" t="e">
        <f>VLOOKUP(H2191,Stock_list!A:R,18,FALSE)</f>
        <v>#N/A</v>
      </c>
      <c r="J2191" s="139" t="e">
        <f>VLOOKUP(H2191,Stock_list!A:S,17,FALSE)</f>
        <v>#N/A</v>
      </c>
      <c r="K2191" s="51" t="e">
        <f>VLOOKUP(H2191,Stock_list!A:T,16,FALSE)</f>
        <v>#N/A</v>
      </c>
      <c r="L2191" s="4">
        <v>44075</v>
      </c>
      <c r="M2191" s="132">
        <v>2</v>
      </c>
      <c r="P2191" s="4" t="e">
        <f>VLOOKUP(H2191,Stock_list!A:Y,25,FALSE)</f>
        <v>#N/A</v>
      </c>
      <c r="Q2191" s="133"/>
      <c r="T2191" s="144"/>
      <c r="U2191" s="145" t="e">
        <f>VLOOKUP(H2191,Stock_list!A:N,14,FALSE)</f>
        <v>#N/A</v>
      </c>
    </row>
    <row r="2192" spans="1:21" ht="16.5" customHeight="1">
      <c r="A2192" s="159" t="s">
        <v>261</v>
      </c>
      <c r="B2192" s="114" t="str">
        <f>VLOOKUP(A2192,'Data pick slip'!B:F,5,FALSE)</f>
        <v>KHJ-MC100-00</v>
      </c>
      <c r="F2192" s="157" t="s">
        <v>379</v>
      </c>
      <c r="H2192" s="138">
        <v>743</v>
      </c>
      <c r="I2192" s="139" t="e">
        <f>VLOOKUP(H2192,Stock_list!A:R,18,FALSE)</f>
        <v>#N/A</v>
      </c>
      <c r="J2192" s="139" t="e">
        <f>VLOOKUP(H2192,Stock_list!A:S,17,FALSE)</f>
        <v>#N/A</v>
      </c>
      <c r="K2192" s="51" t="e">
        <f>VLOOKUP(H2192,Stock_list!A:T,16,FALSE)</f>
        <v>#N/A</v>
      </c>
      <c r="L2192" s="4">
        <v>44103</v>
      </c>
      <c r="M2192" s="132">
        <v>19</v>
      </c>
      <c r="P2192" s="4" t="e">
        <f>VLOOKUP(H2192,Stock_list!A:Y,25,FALSE)</f>
        <v>#N/A</v>
      </c>
      <c r="Q2192" s="133"/>
      <c r="T2192" s="144"/>
      <c r="U2192" s="145" t="e">
        <f>VLOOKUP(H2192,Stock_list!A:N,14,FALSE)</f>
        <v>#N/A</v>
      </c>
    </row>
    <row r="2193" spans="1:21" ht="16.5" customHeight="1">
      <c r="A2193" s="159" t="s">
        <v>264</v>
      </c>
      <c r="B2193" s="114" t="str">
        <f>VLOOKUP(A2193,'Data pick slip'!B:F,5,FALSE)</f>
        <v>KHJ-MC200-00</v>
      </c>
      <c r="F2193" s="157" t="s">
        <v>379</v>
      </c>
      <c r="H2193" s="138">
        <v>743</v>
      </c>
      <c r="I2193" s="139" t="e">
        <f>VLOOKUP(H2193,Stock_list!A:R,18,FALSE)</f>
        <v>#N/A</v>
      </c>
      <c r="J2193" s="139" t="e">
        <f>VLOOKUP(H2193,Stock_list!A:S,17,FALSE)</f>
        <v>#N/A</v>
      </c>
      <c r="K2193" s="51" t="e">
        <f>VLOOKUP(H2193,Stock_list!A:T,16,FALSE)</f>
        <v>#N/A</v>
      </c>
      <c r="L2193" s="4">
        <v>44103</v>
      </c>
      <c r="M2193" s="132">
        <v>10</v>
      </c>
      <c r="P2193" s="4" t="e">
        <f>VLOOKUP(H2193,Stock_list!A:Y,25,FALSE)</f>
        <v>#N/A</v>
      </c>
      <c r="Q2193" s="133"/>
      <c r="T2193" s="144"/>
      <c r="U2193" s="145" t="e">
        <f>VLOOKUP(H2193,Stock_list!A:N,14,FALSE)</f>
        <v>#N/A</v>
      </c>
    </row>
    <row r="2194" spans="1:21" ht="16.5" customHeight="1">
      <c r="A2194" s="159" t="s">
        <v>265</v>
      </c>
      <c r="B2194" s="114" t="str">
        <f>VLOOKUP(A2194,'Data pick slip'!B:F,5,FALSE)</f>
        <v>KHJ-MC400-00</v>
      </c>
      <c r="F2194" s="157" t="s">
        <v>379</v>
      </c>
      <c r="H2194" s="138">
        <v>743</v>
      </c>
      <c r="I2194" s="139" t="e">
        <f>VLOOKUP(H2194,Stock_list!A:R,18,FALSE)</f>
        <v>#N/A</v>
      </c>
      <c r="J2194" s="139" t="e">
        <f>VLOOKUP(H2194,Stock_list!A:S,17,FALSE)</f>
        <v>#N/A</v>
      </c>
      <c r="K2194" s="51" t="e">
        <f>VLOOKUP(H2194,Stock_list!A:T,16,FALSE)</f>
        <v>#N/A</v>
      </c>
      <c r="L2194" s="4">
        <v>44103</v>
      </c>
      <c r="M2194" s="132">
        <v>1</v>
      </c>
      <c r="P2194" s="4" t="e">
        <f>VLOOKUP(H2194,Stock_list!A:Y,25,FALSE)</f>
        <v>#N/A</v>
      </c>
      <c r="Q2194" s="133"/>
      <c r="T2194" s="144"/>
      <c r="U2194" s="145" t="e">
        <f>VLOOKUP(H2194,Stock_list!A:N,14,FALSE)</f>
        <v>#N/A</v>
      </c>
    </row>
    <row r="2195" spans="1:21" ht="16.5" customHeight="1">
      <c r="A2195" s="159" t="s">
        <v>272</v>
      </c>
      <c r="B2195" s="114" t="str">
        <f>VLOOKUP(A2195,'Data pick slip'!B:F,5,FALSE)</f>
        <v>KLJ-MC100-00</v>
      </c>
      <c r="F2195" s="157" t="s">
        <v>290</v>
      </c>
      <c r="I2195" s="139" t="s">
        <v>611</v>
      </c>
      <c r="J2195" s="139" t="s">
        <v>838</v>
      </c>
      <c r="K2195" s="51" t="s">
        <v>225</v>
      </c>
      <c r="L2195" s="4">
        <v>44036</v>
      </c>
      <c r="M2195" s="140">
        <v>25</v>
      </c>
      <c r="P2195" s="4" t="s">
        <v>214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273</v>
      </c>
      <c r="B2196" s="114" t="str">
        <f>VLOOKUP(A2196,'Data pick slip'!B:F,5,FALSE)</f>
        <v>KLJ-MC200-00</v>
      </c>
      <c r="F2196" s="157" t="s">
        <v>290</v>
      </c>
      <c r="I2196" s="139" t="s">
        <v>611</v>
      </c>
      <c r="J2196" s="139" t="s">
        <v>838</v>
      </c>
      <c r="K2196" s="51" t="s">
        <v>225</v>
      </c>
      <c r="L2196" s="4">
        <v>44036</v>
      </c>
      <c r="M2196" s="140">
        <v>5</v>
      </c>
      <c r="P2196" s="4" t="s">
        <v>214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274</v>
      </c>
      <c r="B2197" s="114" t="str">
        <f>VLOOKUP(A2197,'Data pick slip'!B:F,5,FALSE)</f>
        <v>KLJ-MC400-00</v>
      </c>
      <c r="F2197" s="157" t="s">
        <v>290</v>
      </c>
      <c r="I2197" s="139" t="s">
        <v>611</v>
      </c>
      <c r="J2197" s="139" t="s">
        <v>838</v>
      </c>
      <c r="K2197" s="51" t="s">
        <v>225</v>
      </c>
      <c r="L2197" s="4">
        <v>44036</v>
      </c>
      <c r="M2197" s="140">
        <v>3</v>
      </c>
      <c r="P2197" s="4" t="s">
        <v>214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276</v>
      </c>
      <c r="B2198" s="114" t="str">
        <f>VLOOKUP(A2198,'Data pick slip'!B:F,5,FALSE)</f>
        <v>KLJ-MC600-00</v>
      </c>
      <c r="F2198" s="157" t="s">
        <v>290</v>
      </c>
      <c r="I2198" s="139" t="s">
        <v>611</v>
      </c>
      <c r="J2198" s="139" t="s">
        <v>838</v>
      </c>
      <c r="K2198" s="51" t="s">
        <v>225</v>
      </c>
      <c r="L2198" s="4">
        <v>44036</v>
      </c>
      <c r="M2198" s="140">
        <v>1</v>
      </c>
      <c r="P2198" s="4" t="s">
        <v>214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261</v>
      </c>
      <c r="B2199" s="114" t="str">
        <f>VLOOKUP(A2199,'Data pick slip'!B:F,5,FALSE)</f>
        <v>KHJ-MC100-00</v>
      </c>
      <c r="F2199" s="157" t="s">
        <v>379</v>
      </c>
      <c r="H2199" s="138">
        <v>745</v>
      </c>
      <c r="I2199" s="139" t="e">
        <f>VLOOKUP(H2199,Stock_list!A:R,18,FALSE)</f>
        <v>#N/A</v>
      </c>
      <c r="J2199" s="139" t="e">
        <f>VLOOKUP(H2199,Stock_list!A:S,17,FALSE)</f>
        <v>#N/A</v>
      </c>
      <c r="K2199" s="51" t="e">
        <f>VLOOKUP(H2199,Stock_list!A:T,16,FALSE)</f>
        <v>#N/A</v>
      </c>
      <c r="L2199" s="4">
        <v>44175</v>
      </c>
      <c r="M2199" s="132">
        <v>50</v>
      </c>
      <c r="N2199" s="146"/>
      <c r="P2199" s="4" t="e">
        <f>VLOOKUP(H2199,Stock_list!A:Y,25,FALSE)</f>
        <v>#N/A</v>
      </c>
      <c r="Q2199" s="143"/>
      <c r="T2199" s="144"/>
      <c r="U2199" s="145" t="e">
        <f>VLOOKUP(H2199,Stock_list!A:N,14,FALSE)</f>
        <v>#N/A</v>
      </c>
    </row>
    <row r="2200" spans="1:21" ht="16.5" customHeight="1">
      <c r="A2200" s="159" t="s">
        <v>264</v>
      </c>
      <c r="B2200" s="114" t="str">
        <f>VLOOKUP(A2200,'Data pick slip'!B:F,5,FALSE)</f>
        <v>KHJ-MC200-00</v>
      </c>
      <c r="F2200" s="157" t="s">
        <v>379</v>
      </c>
      <c r="H2200" s="138">
        <v>745</v>
      </c>
      <c r="I2200" s="139" t="e">
        <f>VLOOKUP(H2200,Stock_list!A:R,18,FALSE)</f>
        <v>#N/A</v>
      </c>
      <c r="J2200" s="139" t="e">
        <f>VLOOKUP(H2200,Stock_list!A:S,17,FALSE)</f>
        <v>#N/A</v>
      </c>
      <c r="K2200" s="51" t="e">
        <f>VLOOKUP(H2200,Stock_list!A:T,16,FALSE)</f>
        <v>#N/A</v>
      </c>
      <c r="L2200" s="4">
        <v>44175</v>
      </c>
      <c r="M2200" s="132">
        <v>5</v>
      </c>
      <c r="N2200" s="146"/>
      <c r="P2200" s="4" t="e">
        <f>VLOOKUP(H2200,Stock_list!A:Y,25,FALSE)</f>
        <v>#N/A</v>
      </c>
      <c r="Q2200" s="143"/>
      <c r="T2200" s="144"/>
      <c r="U2200" s="145" t="e">
        <f>VLOOKUP(H2200,Stock_list!A:N,14,FALSE)</f>
        <v>#N/A</v>
      </c>
    </row>
    <row r="2201" spans="1:21" ht="16.5" customHeight="1">
      <c r="A2201" s="159" t="s">
        <v>261</v>
      </c>
      <c r="B2201" s="114" t="str">
        <f>VLOOKUP(A2201,'Data pick slip'!B:F,5,FALSE)</f>
        <v>KHJ-MC100-00</v>
      </c>
      <c r="F2201" s="157" t="s">
        <v>379</v>
      </c>
      <c r="H2201" s="138">
        <v>749</v>
      </c>
      <c r="I2201" s="139" t="e">
        <f>VLOOKUP(H2201,Stock_list!A:R,18,FALSE)</f>
        <v>#N/A</v>
      </c>
      <c r="J2201" s="139" t="e">
        <f>VLOOKUP(H2201,Stock_list!A:S,17,FALSE)</f>
        <v>#N/A</v>
      </c>
      <c r="K2201" s="51" t="e">
        <f>VLOOKUP(H2201,Stock_list!A:T,16,FALSE)</f>
        <v>#N/A</v>
      </c>
      <c r="L2201" s="4">
        <v>44139</v>
      </c>
      <c r="M2201" s="132">
        <v>40</v>
      </c>
      <c r="P2201" s="4" t="e">
        <f>VLOOKUP(H2201,Stock_list!A:Y,25,FALSE)</f>
        <v>#N/A</v>
      </c>
      <c r="Q2201" s="143"/>
      <c r="T2201" s="144"/>
      <c r="U2201" s="145" t="e">
        <f>VLOOKUP(H2201,Stock_list!A:N,14,FALSE)</f>
        <v>#N/A</v>
      </c>
    </row>
    <row r="2202" spans="1:21" ht="16.5" customHeight="1">
      <c r="A2202" s="159" t="s">
        <v>261</v>
      </c>
      <c r="B2202" s="114" t="str">
        <f>VLOOKUP(A2202,'Data pick slip'!B:F,5,FALSE)</f>
        <v>KHJ-MC100-00</v>
      </c>
      <c r="F2202" s="157" t="s">
        <v>290</v>
      </c>
      <c r="H2202" s="138">
        <v>749</v>
      </c>
      <c r="I2202" s="139" t="e">
        <f>VLOOKUP(H2202,Stock_list!A:R,18,FALSE)</f>
        <v>#N/A</v>
      </c>
      <c r="J2202" s="139" t="e">
        <f>VLOOKUP(H2202,Stock_list!A:S,17,FALSE)</f>
        <v>#N/A</v>
      </c>
      <c r="K2202" s="51" t="e">
        <f>VLOOKUP(H2202,Stock_list!A:T,16,FALSE)</f>
        <v>#N/A</v>
      </c>
      <c r="L2202" s="4">
        <v>44161</v>
      </c>
      <c r="M2202" s="132">
        <v>2</v>
      </c>
      <c r="P2202" s="4" t="e">
        <f>VLOOKUP(H2202,Stock_list!A:Y,25,FALSE)</f>
        <v>#N/A</v>
      </c>
      <c r="Q2202" s="143"/>
      <c r="S2202" s="123" t="s">
        <v>521</v>
      </c>
      <c r="T2202" s="144" t="s">
        <v>839</v>
      </c>
      <c r="U2202" s="145" t="e">
        <f>VLOOKUP(H2202,Stock_list!A:N,14,FALSE)</f>
        <v>#N/A</v>
      </c>
    </row>
    <row r="2203" spans="1:21" ht="16.5" customHeight="1">
      <c r="A2203" s="159" t="s">
        <v>264</v>
      </c>
      <c r="B2203" s="114" t="str">
        <f>VLOOKUP(A2203,'Data pick slip'!B:F,5,FALSE)</f>
        <v>KHJ-MC200-00</v>
      </c>
      <c r="F2203" s="157" t="s">
        <v>379</v>
      </c>
      <c r="H2203" s="138">
        <v>749</v>
      </c>
      <c r="I2203" s="139" t="e">
        <f>VLOOKUP(H2203,Stock_list!A:R,18,FALSE)</f>
        <v>#N/A</v>
      </c>
      <c r="J2203" s="139" t="e">
        <f>VLOOKUP(H2203,Stock_list!A:S,17,FALSE)</f>
        <v>#N/A</v>
      </c>
      <c r="K2203" s="51" t="e">
        <f>VLOOKUP(H2203,Stock_list!A:T,16,FALSE)</f>
        <v>#N/A</v>
      </c>
      <c r="L2203" s="4">
        <v>44139</v>
      </c>
      <c r="M2203" s="132">
        <v>5</v>
      </c>
      <c r="P2203" s="4" t="e">
        <f>VLOOKUP(H2203,Stock_list!A:Y,25,FALSE)</f>
        <v>#N/A</v>
      </c>
      <c r="Q2203" s="143"/>
      <c r="T2203" s="144"/>
      <c r="U2203" s="145" t="e">
        <f>VLOOKUP(H2203,Stock_list!A:N,14,FALSE)</f>
        <v>#N/A</v>
      </c>
    </row>
    <row r="2204" spans="1:21" ht="16.5" customHeight="1">
      <c r="A2204" s="159" t="s">
        <v>261</v>
      </c>
      <c r="B2204" s="114" t="str">
        <f>VLOOKUP(A2204,'Data pick slip'!B:F,5,FALSE)</f>
        <v>KHJ-MC100-00</v>
      </c>
      <c r="F2204" s="157" t="s">
        <v>290</v>
      </c>
      <c r="H2204" s="138">
        <v>749</v>
      </c>
      <c r="I2204" s="139" t="e">
        <f>VLOOKUP(H2204,Stock_list!A:R,18,FALSE)</f>
        <v>#N/A</v>
      </c>
      <c r="J2204" s="139" t="e">
        <f>VLOOKUP(H2204,Stock_list!A:S,17,FALSE)</f>
        <v>#N/A</v>
      </c>
      <c r="K2204" s="51" t="e">
        <f>VLOOKUP(H2204,Stock_list!A:T,16,FALSE)</f>
        <v>#N/A</v>
      </c>
      <c r="L2204" s="4">
        <v>44047</v>
      </c>
      <c r="O2204" s="132">
        <f>40-40</f>
        <v>0</v>
      </c>
      <c r="P2204" s="4" t="e">
        <f>VLOOKUP(H2204,Stock_list!A:Y,25,FALSE)</f>
        <v>#N/A</v>
      </c>
      <c r="Q2204" s="143"/>
      <c r="T2204" s="144"/>
      <c r="U2204" s="145" t="e">
        <f>VLOOKUP(H2204,Stock_list!A:N,14,FALSE)</f>
        <v>#N/A</v>
      </c>
    </row>
    <row r="2205" spans="1:21" ht="16.5" customHeight="1">
      <c r="A2205" s="159" t="s">
        <v>264</v>
      </c>
      <c r="B2205" s="114" t="str">
        <f>VLOOKUP(A2205,'Data pick slip'!B:F,5,FALSE)</f>
        <v>KHJ-MC200-00</v>
      </c>
      <c r="F2205" s="157" t="s">
        <v>290</v>
      </c>
      <c r="H2205" s="138">
        <v>749</v>
      </c>
      <c r="I2205" s="139" t="e">
        <f>VLOOKUP(H2205,Stock_list!A:R,18,FALSE)</f>
        <v>#N/A</v>
      </c>
      <c r="J2205" s="139" t="e">
        <f>VLOOKUP(H2205,Stock_list!A:S,17,FALSE)</f>
        <v>#N/A</v>
      </c>
      <c r="K2205" s="51" t="e">
        <f>VLOOKUP(H2205,Stock_list!A:T,16,FALSE)</f>
        <v>#N/A</v>
      </c>
      <c r="L2205" s="4">
        <v>44047</v>
      </c>
      <c r="O2205" s="132">
        <f>5-5</f>
        <v>0</v>
      </c>
      <c r="P2205" s="4" t="e">
        <f>VLOOKUP(H2205,Stock_list!A:Y,25,FALSE)</f>
        <v>#N/A</v>
      </c>
      <c r="Q2205" s="143"/>
      <c r="T2205" s="144"/>
      <c r="U2205" s="145" t="e">
        <f>VLOOKUP(H2205,Stock_list!A:N,14,FALSE)</f>
        <v>#N/A</v>
      </c>
    </row>
    <row r="2206" spans="1:21" ht="16.5" customHeight="1">
      <c r="A2206" s="159" t="s">
        <v>261</v>
      </c>
      <c r="B2206" s="114" t="str">
        <f>VLOOKUP(A2206,'Data pick slip'!B:F,5,FALSE)</f>
        <v>KHJ-MC100-00</v>
      </c>
      <c r="F2206" s="157" t="s">
        <v>379</v>
      </c>
      <c r="H2206" s="138">
        <v>750</v>
      </c>
      <c r="I2206" s="139" t="e">
        <f>VLOOKUP(H2206,Stock_list!A:R,18,FALSE)</f>
        <v>#N/A</v>
      </c>
      <c r="J2206" s="139" t="e">
        <f>VLOOKUP(H2206,Stock_list!A:S,17,FALSE)</f>
        <v>#N/A</v>
      </c>
      <c r="K2206" s="51" t="e">
        <f>VLOOKUP(H2206,Stock_list!A:T,16,FALSE)</f>
        <v>#N/A</v>
      </c>
      <c r="L2206" s="4">
        <v>44134</v>
      </c>
      <c r="M2206" s="140">
        <v>5</v>
      </c>
      <c r="P2206" s="4" t="e">
        <f>VLOOKUP(H2206,Stock_list!A:Y,25,FALSE)</f>
        <v>#N/A</v>
      </c>
      <c r="Q2206" s="143"/>
      <c r="T2206" s="144"/>
      <c r="U2206" s="145" t="e">
        <f>VLOOKUP(H2206,Stock_list!A:N,14,FALSE)</f>
        <v>#N/A</v>
      </c>
    </row>
    <row r="2207" spans="1:21" ht="16.5" customHeight="1">
      <c r="A2207" s="159" t="s">
        <v>264</v>
      </c>
      <c r="B2207" s="114" t="str">
        <f>VLOOKUP(A2207,'Data pick slip'!B:F,5,FALSE)</f>
        <v>KHJ-MC200-00</v>
      </c>
      <c r="F2207" s="157" t="s">
        <v>290</v>
      </c>
      <c r="I2207" s="139" t="s">
        <v>611</v>
      </c>
      <c r="J2207" s="139" t="s">
        <v>840</v>
      </c>
      <c r="K2207" s="51" t="s">
        <v>225</v>
      </c>
      <c r="L2207" s="4">
        <v>44040</v>
      </c>
      <c r="M2207" s="140">
        <v>5</v>
      </c>
      <c r="P2207" s="4" t="s">
        <v>214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266</v>
      </c>
      <c r="B2208" s="114" t="str">
        <f>VLOOKUP(A2208,'Data pick slip'!B:F,5,FALSE)</f>
        <v>KHJ-MC500-00</v>
      </c>
      <c r="F2208" s="157" t="s">
        <v>290</v>
      </c>
      <c r="I2208" s="139" t="s">
        <v>611</v>
      </c>
      <c r="J2208" s="139" t="s">
        <v>841</v>
      </c>
      <c r="K2208" s="51" t="s">
        <v>225</v>
      </c>
      <c r="L2208" s="4">
        <v>44042</v>
      </c>
      <c r="M2208" s="140">
        <v>1</v>
      </c>
      <c r="P2208" s="4" t="s">
        <v>214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261</v>
      </c>
      <c r="B2209" s="114" t="str">
        <f>VLOOKUP(A2209,'Data pick slip'!B:F,5,FALSE)</f>
        <v>KHJ-MC100-00</v>
      </c>
      <c r="F2209" s="157" t="s">
        <v>290</v>
      </c>
      <c r="H2209" s="138">
        <v>751</v>
      </c>
      <c r="I2209" s="139" t="e">
        <f>VLOOKUP(H2209,Stock_list!A:R,18,FALSE)</f>
        <v>#N/A</v>
      </c>
      <c r="J2209" s="139" t="e">
        <f>VLOOKUP(H2209,Stock_list!A:S,17,FALSE)</f>
        <v>#N/A</v>
      </c>
      <c r="K2209" s="51" t="e">
        <f>VLOOKUP(H2209,Stock_list!A:T,16,FALSE)</f>
        <v>#N/A</v>
      </c>
      <c r="L2209" s="4">
        <v>44131</v>
      </c>
      <c r="M2209" s="132">
        <v>40</v>
      </c>
      <c r="P2209" s="4" t="e">
        <f>VLOOKUP(H2209,Stock_list!A:Y,25,FALSE)</f>
        <v>#N/A</v>
      </c>
      <c r="Q2209" s="133"/>
      <c r="T2209" s="144"/>
      <c r="U2209" s="145" t="e">
        <f>VLOOKUP(H2209,Stock_list!A:N,14,FALSE)</f>
        <v>#N/A</v>
      </c>
    </row>
    <row r="2210" spans="1:21" ht="16.5" customHeight="1">
      <c r="A2210" s="159" t="s">
        <v>264</v>
      </c>
      <c r="B2210" s="114" t="str">
        <f>VLOOKUP(A2210,'Data pick slip'!B:F,5,FALSE)</f>
        <v>KHJ-MC200-00</v>
      </c>
      <c r="F2210" s="157" t="s">
        <v>290</v>
      </c>
      <c r="H2210" s="138">
        <v>751</v>
      </c>
      <c r="I2210" s="139" t="e">
        <f>VLOOKUP(H2210,Stock_list!A:R,18,FALSE)</f>
        <v>#N/A</v>
      </c>
      <c r="J2210" s="139" t="e">
        <f>VLOOKUP(H2210,Stock_list!A:S,17,FALSE)</f>
        <v>#N/A</v>
      </c>
      <c r="K2210" s="51" t="e">
        <f>VLOOKUP(H2210,Stock_list!A:T,16,FALSE)</f>
        <v>#N/A</v>
      </c>
      <c r="L2210" s="4">
        <v>44131</v>
      </c>
      <c r="M2210" s="132">
        <v>10</v>
      </c>
      <c r="P2210" s="4" t="e">
        <f>VLOOKUP(H2210,Stock_list!A:Y,25,FALSE)</f>
        <v>#N/A</v>
      </c>
      <c r="Q2210" s="133"/>
      <c r="T2210" s="144"/>
      <c r="U2210" s="145" t="e">
        <f>VLOOKUP(H2210,Stock_list!A:N,14,FALSE)</f>
        <v>#N/A</v>
      </c>
    </row>
    <row r="2211" spans="1:21" ht="16.5" customHeight="1">
      <c r="A2211" s="159" t="s">
        <v>265</v>
      </c>
      <c r="B2211" s="114" t="str">
        <f>VLOOKUP(A2211,'Data pick slip'!B:F,5,FALSE)</f>
        <v>KHJ-MC400-00</v>
      </c>
      <c r="F2211" s="157" t="s">
        <v>290</v>
      </c>
      <c r="H2211" s="138">
        <v>751</v>
      </c>
      <c r="I2211" s="139" t="e">
        <f>VLOOKUP(H2211,Stock_list!A:R,18,FALSE)</f>
        <v>#N/A</v>
      </c>
      <c r="J2211" s="139" t="e">
        <f>VLOOKUP(H2211,Stock_list!A:S,17,FALSE)</f>
        <v>#N/A</v>
      </c>
      <c r="K2211" s="51" t="e">
        <f>VLOOKUP(H2211,Stock_list!A:T,16,FALSE)</f>
        <v>#N/A</v>
      </c>
      <c r="L2211" s="4">
        <v>44131</v>
      </c>
      <c r="M2211" s="132">
        <v>4</v>
      </c>
      <c r="P2211" s="4" t="e">
        <f>VLOOKUP(H2211,Stock_list!A:Y,25,FALSE)</f>
        <v>#N/A</v>
      </c>
      <c r="Q2211" s="133"/>
      <c r="T2211" s="144"/>
      <c r="U2211" s="145" t="e">
        <f>VLOOKUP(H2211,Stock_list!A:N,14,FALSE)</f>
        <v>#N/A</v>
      </c>
    </row>
    <row r="2212" spans="1:21" ht="16.5" customHeight="1">
      <c r="A2212" s="159" t="s">
        <v>266</v>
      </c>
      <c r="B2212" s="114" t="str">
        <f>VLOOKUP(A2212,'Data pick slip'!B:F,5,FALSE)</f>
        <v>KHJ-MC500-00</v>
      </c>
      <c r="F2212" s="157" t="s">
        <v>290</v>
      </c>
      <c r="H2212" s="138">
        <v>751</v>
      </c>
      <c r="I2212" s="139" t="e">
        <f>VLOOKUP(H2212,Stock_list!A:R,18,FALSE)</f>
        <v>#N/A</v>
      </c>
      <c r="J2212" s="139" t="e">
        <f>VLOOKUP(H2212,Stock_list!A:S,17,FALSE)</f>
        <v>#N/A</v>
      </c>
      <c r="K2212" s="51" t="e">
        <f>VLOOKUP(H2212,Stock_list!A:T,16,FALSE)</f>
        <v>#N/A</v>
      </c>
      <c r="L2212" s="4">
        <v>44131</v>
      </c>
      <c r="M2212" s="132">
        <v>2</v>
      </c>
      <c r="P2212" s="4" t="e">
        <f>VLOOKUP(H2212,Stock_list!A:Y,25,FALSE)</f>
        <v>#N/A</v>
      </c>
      <c r="Q2212" s="133"/>
      <c r="T2212" s="144"/>
      <c r="U2212" s="145" t="e">
        <f>VLOOKUP(H2212,Stock_list!A:N,14,FALSE)</f>
        <v>#N/A</v>
      </c>
    </row>
    <row r="2213" spans="1:21" ht="16.5" customHeight="1">
      <c r="A2213" s="159" t="s">
        <v>267</v>
      </c>
      <c r="B2213" s="114" t="str">
        <f>VLOOKUP(A2213,'Data pick slip'!B:F,5,FALSE)</f>
        <v>KHJ-MC600-00</v>
      </c>
      <c r="F2213" s="157" t="s">
        <v>290</v>
      </c>
      <c r="H2213" s="138">
        <v>751</v>
      </c>
      <c r="I2213" s="139" t="e">
        <f>VLOOKUP(H2213,Stock_list!A:R,18,FALSE)</f>
        <v>#N/A</v>
      </c>
      <c r="J2213" s="139" t="e">
        <f>VLOOKUP(H2213,Stock_list!A:S,17,FALSE)</f>
        <v>#N/A</v>
      </c>
      <c r="K2213" s="51" t="e">
        <f>VLOOKUP(H2213,Stock_list!A:T,16,FALSE)</f>
        <v>#N/A</v>
      </c>
      <c r="L2213" s="4">
        <v>44131</v>
      </c>
      <c r="M2213" s="132">
        <v>1</v>
      </c>
      <c r="P2213" s="4" t="e">
        <f>VLOOKUP(H2213,Stock_list!A:Y,25,FALSE)</f>
        <v>#N/A</v>
      </c>
      <c r="Q2213" s="133"/>
      <c r="T2213" s="144"/>
      <c r="U2213" s="145" t="e">
        <f>VLOOKUP(H2213,Stock_list!A:N,14,FALSE)</f>
        <v>#N/A</v>
      </c>
    </row>
    <row r="2214" spans="1:21" ht="16.5" customHeight="1">
      <c r="A2214" s="159" t="s">
        <v>261</v>
      </c>
      <c r="B2214" s="114" t="str">
        <f>VLOOKUP(A2214,'Data pick slip'!B:F,5,FALSE)</f>
        <v>KHJ-MC100-00</v>
      </c>
      <c r="F2214" s="157" t="s">
        <v>290</v>
      </c>
      <c r="H2214" s="138">
        <v>752</v>
      </c>
      <c r="I2214" s="139" t="e">
        <f>VLOOKUP(H2214,Stock_list!A:R,18,FALSE)</f>
        <v>#N/A</v>
      </c>
      <c r="J2214" s="139" t="e">
        <f>VLOOKUP(H2214,Stock_list!A:S,17,FALSE)</f>
        <v>#N/A</v>
      </c>
      <c r="K2214" s="51" t="e">
        <f>VLOOKUP(H2214,Stock_list!A:T,16,FALSE)</f>
        <v>#N/A</v>
      </c>
      <c r="L2214" s="4">
        <v>44049</v>
      </c>
      <c r="M2214" s="140">
        <v>5</v>
      </c>
      <c r="P2214" s="4" t="e">
        <f>VLOOKUP(H2214,Stock_list!A:Y,25,FALSE)</f>
        <v>#N/A</v>
      </c>
      <c r="Q2214" s="143"/>
      <c r="T2214" s="144"/>
      <c r="U2214" s="145" t="e">
        <f>VLOOKUP(H2214,Stock_list!A:N,14,FALSE)</f>
        <v>#N/A</v>
      </c>
    </row>
    <row r="2215" spans="1:21" ht="16.5" customHeight="1">
      <c r="A2215" s="159" t="s">
        <v>267</v>
      </c>
      <c r="B2215" s="114" t="str">
        <f>VLOOKUP(A2215,'Data pick slip'!B:F,5,FALSE)</f>
        <v>KHJ-MC600-00</v>
      </c>
      <c r="F2215" s="157" t="s">
        <v>290</v>
      </c>
      <c r="I2215" s="139" t="s">
        <v>611</v>
      </c>
      <c r="J2215" s="139" t="s">
        <v>842</v>
      </c>
      <c r="K2215" s="51" t="s">
        <v>225</v>
      </c>
      <c r="L2215" s="4">
        <v>44035</v>
      </c>
      <c r="M2215" s="140">
        <v>1</v>
      </c>
      <c r="P2215" s="4" t="s">
        <v>214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267</v>
      </c>
      <c r="B2216" s="114" t="str">
        <f>VLOOKUP(A2216,'Data pick slip'!B:F,5,FALSE)</f>
        <v>KHJ-MC600-00</v>
      </c>
      <c r="F2216" s="157" t="s">
        <v>290</v>
      </c>
      <c r="I2216" s="139" t="s">
        <v>617</v>
      </c>
      <c r="J2216" s="139" t="s">
        <v>843</v>
      </c>
      <c r="K2216" s="51" t="s">
        <v>225</v>
      </c>
      <c r="L2216" s="4">
        <v>44043</v>
      </c>
      <c r="M2216" s="140">
        <v>2</v>
      </c>
      <c r="P2216" s="4" t="s">
        <v>214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261</v>
      </c>
      <c r="B2217" s="114" t="str">
        <f>VLOOKUP(A2217,'Data pick slip'!B:F,5,FALSE)</f>
        <v>KHJ-MC100-00</v>
      </c>
      <c r="F2217" s="157" t="s">
        <v>379</v>
      </c>
      <c r="H2217" s="138">
        <v>756</v>
      </c>
      <c r="I2217" s="139" t="e">
        <f>VLOOKUP(H2217,Stock_list!A:R,18,FALSE)</f>
        <v>#N/A</v>
      </c>
      <c r="J2217" s="139" t="e">
        <f>VLOOKUP(H2217,Stock_list!A:S,17,FALSE)</f>
        <v>#N/A</v>
      </c>
      <c r="K2217" s="51" t="e">
        <f>VLOOKUP(H2217,Stock_list!A:T,16,FALSE)</f>
        <v>#N/A</v>
      </c>
      <c r="L2217" s="4">
        <v>44138</v>
      </c>
      <c r="M2217" s="132">
        <v>29</v>
      </c>
      <c r="P2217" s="4" t="e">
        <f>VLOOKUP(H2217,Stock_list!A:Y,25,FALSE)</f>
        <v>#N/A</v>
      </c>
      <c r="Q2217" s="143"/>
      <c r="T2217" s="144"/>
      <c r="U2217" s="145" t="e">
        <f>VLOOKUP(H2217,Stock_list!A:N,14,FALSE)</f>
        <v>#N/A</v>
      </c>
    </row>
    <row r="2218" spans="1:21" ht="16.5" customHeight="1">
      <c r="A2218" s="159" t="s">
        <v>264</v>
      </c>
      <c r="B2218" s="114" t="str">
        <f>VLOOKUP(A2218,'Data pick slip'!B:F,5,FALSE)</f>
        <v>KHJ-MC200-00</v>
      </c>
      <c r="F2218" s="157" t="s">
        <v>379</v>
      </c>
      <c r="H2218" s="138">
        <v>756</v>
      </c>
      <c r="I2218" s="139" t="e">
        <f>VLOOKUP(H2218,Stock_list!A:R,18,FALSE)</f>
        <v>#N/A</v>
      </c>
      <c r="J2218" s="139" t="e">
        <f>VLOOKUP(H2218,Stock_list!A:S,17,FALSE)</f>
        <v>#N/A</v>
      </c>
      <c r="K2218" s="51" t="e">
        <f>VLOOKUP(H2218,Stock_list!A:T,16,FALSE)</f>
        <v>#N/A</v>
      </c>
      <c r="L2218" s="4">
        <v>44138</v>
      </c>
      <c r="M2218" s="132">
        <v>4</v>
      </c>
      <c r="P2218" s="4" t="e">
        <f>VLOOKUP(H2218,Stock_list!A:Y,25,FALSE)</f>
        <v>#N/A</v>
      </c>
      <c r="Q2218" s="143"/>
      <c r="T2218" s="144"/>
      <c r="U2218" s="145" t="e">
        <f>VLOOKUP(H2218,Stock_list!A:N,14,FALSE)</f>
        <v>#N/A</v>
      </c>
    </row>
    <row r="2219" spans="1:21" ht="16.5" customHeight="1">
      <c r="A2219" s="159" t="s">
        <v>264</v>
      </c>
      <c r="B2219" s="114" t="str">
        <f>VLOOKUP(A2219,'Data pick slip'!B:F,5,FALSE)</f>
        <v>KHJ-MC200-00</v>
      </c>
      <c r="F2219" s="157" t="s">
        <v>290</v>
      </c>
      <c r="H2219" s="138">
        <v>756</v>
      </c>
      <c r="I2219" s="139" t="e">
        <f>VLOOKUP(H2219,Stock_list!A:R,18,FALSE)</f>
        <v>#N/A</v>
      </c>
      <c r="J2219" s="139" t="e">
        <f>VLOOKUP(H2219,Stock_list!A:S,17,FALSE)</f>
        <v>#N/A</v>
      </c>
      <c r="K2219" s="51" t="e">
        <f>VLOOKUP(H2219,Stock_list!A:T,16,FALSE)</f>
        <v>#N/A</v>
      </c>
      <c r="L2219" s="4">
        <v>44138</v>
      </c>
      <c r="M2219" s="132">
        <v>2</v>
      </c>
      <c r="P2219" s="4" t="e">
        <f>VLOOKUP(H2219,Stock_list!A:Y,25,FALSE)</f>
        <v>#N/A</v>
      </c>
      <c r="Q2219" s="143"/>
      <c r="S2219" s="123" t="s">
        <v>521</v>
      </c>
      <c r="T2219" s="205" t="s">
        <v>844</v>
      </c>
      <c r="U2219" s="145" t="e">
        <f>VLOOKUP(H2219,Stock_list!A:N,14,FALSE)</f>
        <v>#N/A</v>
      </c>
    </row>
    <row r="2220" spans="1:21" ht="16.5" customHeight="1">
      <c r="A2220" s="159" t="s">
        <v>265</v>
      </c>
      <c r="B2220" s="114" t="str">
        <f>VLOOKUP(A2220,'Data pick slip'!B:F,5,FALSE)</f>
        <v>KHJ-MC400-00</v>
      </c>
      <c r="F2220" s="157" t="s">
        <v>379</v>
      </c>
      <c r="H2220" s="138">
        <v>756</v>
      </c>
      <c r="I2220" s="139" t="e">
        <f>VLOOKUP(H2220,Stock_list!A:R,18,FALSE)</f>
        <v>#N/A</v>
      </c>
      <c r="J2220" s="139" t="e">
        <f>VLOOKUP(H2220,Stock_list!A:S,17,FALSE)</f>
        <v>#N/A</v>
      </c>
      <c r="K2220" s="51" t="e">
        <f>VLOOKUP(H2220,Stock_list!A:T,16,FALSE)</f>
        <v>#N/A</v>
      </c>
      <c r="L2220" s="4">
        <v>44138</v>
      </c>
      <c r="M2220" s="132">
        <v>2</v>
      </c>
      <c r="P2220" s="4" t="e">
        <f>VLOOKUP(H2220,Stock_list!A:Y,25,FALSE)</f>
        <v>#N/A</v>
      </c>
      <c r="Q2220" s="143"/>
      <c r="T2220" s="144"/>
      <c r="U2220" s="145" t="e">
        <f>VLOOKUP(H2220,Stock_list!A:N,14,FALSE)</f>
        <v>#N/A</v>
      </c>
    </row>
    <row r="2221" spans="1:21" ht="16.5" customHeight="1">
      <c r="A2221" s="159" t="s">
        <v>261</v>
      </c>
      <c r="B2221" s="114" t="str">
        <f>VLOOKUP(A2221,'Data pick slip'!B:F,5,FALSE)</f>
        <v>KHJ-MC100-00</v>
      </c>
      <c r="F2221" s="157" t="s">
        <v>379</v>
      </c>
      <c r="H2221" s="138">
        <v>757</v>
      </c>
      <c r="I2221" s="139" t="e">
        <f>VLOOKUP(H2221,Stock_list!A:R,18,FALSE)</f>
        <v>#N/A</v>
      </c>
      <c r="J2221" s="139" t="e">
        <f>VLOOKUP(H2221,Stock_list!A:S,17,FALSE)</f>
        <v>#N/A</v>
      </c>
      <c r="K2221" s="51" t="e">
        <f>VLOOKUP(H2221,Stock_list!A:T,16,FALSE)</f>
        <v>#N/A</v>
      </c>
      <c r="L2221" s="4">
        <v>44102</v>
      </c>
      <c r="M2221" s="132">
        <v>45</v>
      </c>
      <c r="P2221" s="4" t="e">
        <f>VLOOKUP(H2221,Stock_list!A:Y,25,FALSE)</f>
        <v>#N/A</v>
      </c>
      <c r="Q2221" s="143"/>
      <c r="T2221" s="144"/>
      <c r="U2221" s="145" t="e">
        <f>VLOOKUP(H2221,Stock_list!A:N,14,FALSE)</f>
        <v>#N/A</v>
      </c>
    </row>
    <row r="2222" spans="1:21" ht="16.5" customHeight="1">
      <c r="A2222" s="159" t="s">
        <v>261</v>
      </c>
      <c r="B2222" s="114" t="str">
        <f>VLOOKUP(A2222,'Data pick slip'!B:F,5,FALSE)</f>
        <v>KHJ-MC100-00</v>
      </c>
      <c r="F2222" s="157" t="s">
        <v>290</v>
      </c>
      <c r="H2222" s="138">
        <v>757</v>
      </c>
      <c r="I2222" s="139" t="e">
        <f>VLOOKUP(H2222,Stock_list!A:R,18,FALSE)</f>
        <v>#N/A</v>
      </c>
      <c r="J2222" s="139" t="e">
        <f>VLOOKUP(H2222,Stock_list!A:S,17,FALSE)</f>
        <v>#N/A</v>
      </c>
      <c r="K2222" s="51" t="e">
        <f>VLOOKUP(H2222,Stock_list!A:T,16,FALSE)</f>
        <v>#N/A</v>
      </c>
      <c r="L2222" s="4"/>
      <c r="O2222" s="132">
        <f>10-10</f>
        <v>0</v>
      </c>
      <c r="P2222" s="4" t="e">
        <f>VLOOKUP(H2222,Stock_list!A:Y,25,FALSE)</f>
        <v>#N/A</v>
      </c>
      <c r="Q2222" s="143"/>
      <c r="T2222" s="144"/>
      <c r="U2222" s="145" t="e">
        <f>VLOOKUP(H2222,Stock_list!A:N,14,FALSE)</f>
        <v>#N/A</v>
      </c>
    </row>
    <row r="2223" spans="1:21" ht="16.5" customHeight="1">
      <c r="A2223" s="159" t="s">
        <v>264</v>
      </c>
      <c r="B2223" s="114" t="str">
        <f>VLOOKUP(A2223,'Data pick slip'!B:F,5,FALSE)</f>
        <v>KHJ-MC200-00</v>
      </c>
      <c r="F2223" s="157" t="s">
        <v>379</v>
      </c>
      <c r="H2223" s="138">
        <v>757</v>
      </c>
      <c r="I2223" s="139" t="e">
        <f>VLOOKUP(H2223,Stock_list!A:R,18,FALSE)</f>
        <v>#N/A</v>
      </c>
      <c r="J2223" s="139" t="e">
        <f>VLOOKUP(H2223,Stock_list!A:S,17,FALSE)</f>
        <v>#N/A</v>
      </c>
      <c r="K2223" s="51" t="e">
        <f>VLOOKUP(H2223,Stock_list!A:T,16,FALSE)</f>
        <v>#N/A</v>
      </c>
      <c r="L2223" s="4">
        <v>44102</v>
      </c>
      <c r="M2223" s="140">
        <v>3</v>
      </c>
      <c r="P2223" s="4" t="e">
        <f>VLOOKUP(H2223,Stock_list!A:Y,25,FALSE)</f>
        <v>#N/A</v>
      </c>
      <c r="Q2223" s="143"/>
      <c r="T2223" s="144"/>
      <c r="U2223" s="145" t="e">
        <f>VLOOKUP(H2223,Stock_list!A:N,14,FALSE)</f>
        <v>#N/A</v>
      </c>
    </row>
    <row r="2224" spans="1:21" ht="16.5" customHeight="1">
      <c r="A2224" s="159" t="s">
        <v>261</v>
      </c>
      <c r="B2224" s="114" t="str">
        <f>VLOOKUP(A2224,'Data pick slip'!B:F,5,FALSE)</f>
        <v>KHJ-MC100-00</v>
      </c>
      <c r="F2224" s="157" t="s">
        <v>379</v>
      </c>
      <c r="H2224" s="138">
        <v>761</v>
      </c>
      <c r="I2224" s="139" t="e">
        <f>VLOOKUP(H2224,Stock_list!A:R,18,FALSE)</f>
        <v>#N/A</v>
      </c>
      <c r="J2224" s="139" t="e">
        <f>VLOOKUP(H2224,Stock_list!A:S,17,FALSE)</f>
        <v>#N/A</v>
      </c>
      <c r="K2224" s="51" t="e">
        <f>VLOOKUP(H2224,Stock_list!A:T,16,FALSE)</f>
        <v>#N/A</v>
      </c>
      <c r="L2224" s="4">
        <v>44118</v>
      </c>
      <c r="M2224" s="132">
        <v>100</v>
      </c>
      <c r="P2224" s="4" t="e">
        <f>VLOOKUP(H2224,Stock_list!A:Y,25,FALSE)</f>
        <v>#N/A</v>
      </c>
      <c r="Q2224" s="143"/>
      <c r="T2224" s="144"/>
      <c r="U2224" s="145" t="e">
        <f>VLOOKUP(H2224,Stock_list!A:N,14,FALSE)</f>
        <v>#N/A</v>
      </c>
    </row>
    <row r="2225" spans="1:21" ht="16.5" customHeight="1">
      <c r="A2225" s="159" t="s">
        <v>261</v>
      </c>
      <c r="B2225" s="114" t="str">
        <f>VLOOKUP(A2225,'Data pick slip'!B:F,5,FALSE)</f>
        <v>KHJ-MC100-00</v>
      </c>
      <c r="F2225" s="157" t="s">
        <v>379</v>
      </c>
      <c r="H2225" s="138">
        <v>761</v>
      </c>
      <c r="I2225" s="139" t="e">
        <f>VLOOKUP(H2225,Stock_list!A:R,18,FALSE)</f>
        <v>#N/A</v>
      </c>
      <c r="J2225" s="139" t="e">
        <f>VLOOKUP(H2225,Stock_list!A:S,17,FALSE)</f>
        <v>#N/A</v>
      </c>
      <c r="K2225" s="51" t="e">
        <f>VLOOKUP(H2225,Stock_list!A:T,16,FALSE)</f>
        <v>#N/A</v>
      </c>
      <c r="L2225" s="4">
        <v>44097</v>
      </c>
      <c r="M2225" s="140">
        <v>100</v>
      </c>
      <c r="P2225" s="4" t="e">
        <f>VLOOKUP(H2225,Stock_list!A:Y,25,FALSE)</f>
        <v>#N/A</v>
      </c>
      <c r="Q2225" s="143"/>
      <c r="T2225" s="144"/>
      <c r="U2225" s="145" t="e">
        <f>VLOOKUP(H2225,Stock_list!A:N,14,FALSE)</f>
        <v>#N/A</v>
      </c>
    </row>
    <row r="2226" spans="1:21" ht="16.5" customHeight="1">
      <c r="A2226" s="159" t="s">
        <v>261</v>
      </c>
      <c r="B2226" s="114" t="str">
        <f>VLOOKUP(A2226,'Data pick slip'!B:F,5,FALSE)</f>
        <v>KHJ-MC100-00</v>
      </c>
      <c r="F2226" s="157" t="s">
        <v>290</v>
      </c>
      <c r="H2226" s="138">
        <v>763</v>
      </c>
      <c r="I2226" s="139" t="e">
        <f>VLOOKUP(H2226,Stock_list!A:R,18,FALSE)</f>
        <v>#N/A</v>
      </c>
      <c r="J2226" s="139" t="e">
        <f>VLOOKUP(H2226,Stock_list!A:S,17,FALSE)</f>
        <v>#N/A</v>
      </c>
      <c r="K2226" s="51" t="e">
        <f>VLOOKUP(H2226,Stock_list!A:T,16,FALSE)</f>
        <v>#N/A</v>
      </c>
      <c r="L2226" s="4">
        <v>44152</v>
      </c>
      <c r="M2226" s="132">
        <v>55</v>
      </c>
      <c r="P2226" s="4" t="e">
        <f>VLOOKUP(H2226,Stock_list!A:Y,25,FALSE)</f>
        <v>#N/A</v>
      </c>
      <c r="Q2226" s="133"/>
      <c r="T2226" s="144"/>
      <c r="U2226" s="145" t="e">
        <f>VLOOKUP(H2226,Stock_list!A:N,14,FALSE)</f>
        <v>#N/A</v>
      </c>
    </row>
    <row r="2227" spans="1:21" ht="16.5" customHeight="1">
      <c r="A2227" s="159" t="s">
        <v>264</v>
      </c>
      <c r="B2227" s="114" t="str">
        <f>VLOOKUP(A2227,'Data pick slip'!B:F,5,FALSE)</f>
        <v>KHJ-MC200-00</v>
      </c>
      <c r="F2227" s="157" t="s">
        <v>290</v>
      </c>
      <c r="H2227" s="138">
        <v>763</v>
      </c>
      <c r="I2227" s="139" t="e">
        <f>VLOOKUP(H2227,Stock_list!A:R,18,FALSE)</f>
        <v>#N/A</v>
      </c>
      <c r="J2227" s="139" t="e">
        <f>VLOOKUP(H2227,Stock_list!A:S,17,FALSE)</f>
        <v>#N/A</v>
      </c>
      <c r="K2227" s="51" t="e">
        <f>VLOOKUP(H2227,Stock_list!A:T,16,FALSE)</f>
        <v>#N/A</v>
      </c>
      <c r="L2227" s="4">
        <v>44152</v>
      </c>
      <c r="M2227" s="132">
        <v>18</v>
      </c>
      <c r="P2227" s="4" t="e">
        <f>VLOOKUP(H2227,Stock_list!A:Y,25,FALSE)</f>
        <v>#N/A</v>
      </c>
      <c r="Q2227" s="133"/>
      <c r="T2227" s="144"/>
      <c r="U2227" s="145" t="e">
        <f>VLOOKUP(H2227,Stock_list!A:N,14,FALSE)</f>
        <v>#N/A</v>
      </c>
    </row>
    <row r="2228" spans="1:21" ht="16.5" customHeight="1">
      <c r="A2228" s="159" t="s">
        <v>265</v>
      </c>
      <c r="B2228" s="114" t="str">
        <f>VLOOKUP(A2228,'Data pick slip'!B:F,5,FALSE)</f>
        <v>KHJ-MC400-00</v>
      </c>
      <c r="F2228" s="157" t="s">
        <v>290</v>
      </c>
      <c r="H2228" s="138">
        <v>763</v>
      </c>
      <c r="I2228" s="139" t="e">
        <f>VLOOKUP(H2228,Stock_list!A:R,18,FALSE)</f>
        <v>#N/A</v>
      </c>
      <c r="J2228" s="139" t="e">
        <f>VLOOKUP(H2228,Stock_list!A:S,17,FALSE)</f>
        <v>#N/A</v>
      </c>
      <c r="K2228" s="51" t="e">
        <f>VLOOKUP(H2228,Stock_list!A:T,16,FALSE)</f>
        <v>#N/A</v>
      </c>
      <c r="L2228" s="4">
        <v>44152</v>
      </c>
      <c r="M2228" s="132">
        <v>7</v>
      </c>
      <c r="P2228" s="4" t="e">
        <f>VLOOKUP(H2228,Stock_list!A:Y,25,FALSE)</f>
        <v>#N/A</v>
      </c>
      <c r="Q2228" s="133"/>
      <c r="T2228" s="144"/>
      <c r="U2228" s="145" t="e">
        <f>VLOOKUP(H2228,Stock_list!A:N,14,FALSE)</f>
        <v>#N/A</v>
      </c>
    </row>
    <row r="2229" spans="1:21" ht="16.5" customHeight="1">
      <c r="A2229" s="159" t="s">
        <v>266</v>
      </c>
      <c r="B2229" s="114" t="str">
        <f>VLOOKUP(A2229,'Data pick slip'!B:F,5,FALSE)</f>
        <v>KHJ-MC500-00</v>
      </c>
      <c r="F2229" s="157" t="s">
        <v>290</v>
      </c>
      <c r="H2229" s="138">
        <v>763</v>
      </c>
      <c r="I2229" s="139" t="e">
        <f>VLOOKUP(H2229,Stock_list!A:R,18,FALSE)</f>
        <v>#N/A</v>
      </c>
      <c r="J2229" s="139" t="e">
        <f>VLOOKUP(H2229,Stock_list!A:S,17,FALSE)</f>
        <v>#N/A</v>
      </c>
      <c r="K2229" s="51" t="e">
        <f>VLOOKUP(H2229,Stock_list!A:T,16,FALSE)</f>
        <v>#N/A</v>
      </c>
      <c r="L2229" s="4">
        <v>44152</v>
      </c>
      <c r="M2229" s="132">
        <v>1</v>
      </c>
      <c r="P2229" s="4" t="e">
        <f>VLOOKUP(H2229,Stock_list!A:Y,25,FALSE)</f>
        <v>#N/A</v>
      </c>
      <c r="Q2229" s="133"/>
      <c r="T2229" s="144"/>
      <c r="U2229" s="145" t="e">
        <f>VLOOKUP(H2229,Stock_list!A:N,14,FALSE)</f>
        <v>#N/A</v>
      </c>
    </row>
    <row r="2230" spans="1:21" ht="16.5" customHeight="1">
      <c r="A2230" s="159" t="s">
        <v>267</v>
      </c>
      <c r="B2230" s="114" t="str">
        <f>VLOOKUP(A2230,'Data pick slip'!B:F,5,FALSE)</f>
        <v>KHJ-MC600-00</v>
      </c>
      <c r="F2230" s="157" t="s">
        <v>290</v>
      </c>
      <c r="H2230" s="138">
        <v>763</v>
      </c>
      <c r="I2230" s="139" t="e">
        <f>VLOOKUP(H2230,Stock_list!A:R,18,FALSE)</f>
        <v>#N/A</v>
      </c>
      <c r="J2230" s="139" t="e">
        <f>VLOOKUP(H2230,Stock_list!A:S,17,FALSE)</f>
        <v>#N/A</v>
      </c>
      <c r="K2230" s="51" t="e">
        <f>VLOOKUP(H2230,Stock_list!A:T,16,FALSE)</f>
        <v>#N/A</v>
      </c>
      <c r="L2230" s="4">
        <v>44152</v>
      </c>
      <c r="M2230" s="132">
        <v>1</v>
      </c>
      <c r="P2230" s="4" t="e">
        <f>VLOOKUP(H2230,Stock_list!A:Y,25,FALSE)</f>
        <v>#N/A</v>
      </c>
      <c r="Q2230" s="133"/>
      <c r="T2230" s="144"/>
      <c r="U2230" s="145" t="e">
        <f>VLOOKUP(H2230,Stock_list!A:N,14,FALSE)</f>
        <v>#N/A</v>
      </c>
    </row>
    <row r="2231" spans="1:21" ht="16.5" customHeight="1">
      <c r="A2231" s="159" t="s">
        <v>261</v>
      </c>
      <c r="B2231" s="114" t="str">
        <f>VLOOKUP(A2231,'Data pick slip'!B:F,5,FALSE)</f>
        <v>KHJ-MC100-00</v>
      </c>
      <c r="F2231" s="157" t="s">
        <v>379</v>
      </c>
      <c r="H2231" s="138">
        <v>770</v>
      </c>
      <c r="I2231" s="139" t="e">
        <f>VLOOKUP(H2231,Stock_list!A:R,18,FALSE)</f>
        <v>#N/A</v>
      </c>
      <c r="J2231" s="139" t="e">
        <f>VLOOKUP(H2231,Stock_list!A:S,17,FALSE)</f>
        <v>#N/A</v>
      </c>
      <c r="K2231" s="51" t="e">
        <f>VLOOKUP(H2231,Stock_list!A:T,16,FALSE)</f>
        <v>#N/A</v>
      </c>
      <c r="L2231" s="4">
        <v>44118</v>
      </c>
      <c r="M2231" s="132">
        <v>140</v>
      </c>
      <c r="P2231" s="4" t="e">
        <f>VLOOKUP(H2231,Stock_list!A:Y,25,FALSE)</f>
        <v>#N/A</v>
      </c>
      <c r="Q2231" s="133"/>
      <c r="T2231" s="144"/>
      <c r="U2231" s="145" t="e">
        <f>VLOOKUP(H2231,Stock_list!A:N,14,FALSE)</f>
        <v>#N/A</v>
      </c>
    </row>
    <row r="2232" spans="1:21" ht="16.5" customHeight="1">
      <c r="A2232" s="159" t="s">
        <v>261</v>
      </c>
      <c r="B2232" s="114" t="str">
        <f>VLOOKUP(A2232,'Data pick slip'!B:F,5,FALSE)</f>
        <v>KHJ-MC100-00</v>
      </c>
      <c r="F2232" s="157" t="s">
        <v>379</v>
      </c>
      <c r="H2232" s="138">
        <v>770</v>
      </c>
      <c r="I2232" s="139" t="e">
        <f>VLOOKUP(H2232,Stock_list!A:R,18,FALSE)</f>
        <v>#N/A</v>
      </c>
      <c r="J2232" s="139" t="e">
        <f>VLOOKUP(H2232,Stock_list!A:S,17,FALSE)</f>
        <v>#N/A</v>
      </c>
      <c r="K2232" s="51" t="e">
        <f>VLOOKUP(H2232,Stock_list!A:T,16,FALSE)</f>
        <v>#N/A</v>
      </c>
      <c r="L2232" s="4">
        <v>44103</v>
      </c>
      <c r="M2232" s="132">
        <v>100</v>
      </c>
      <c r="P2232" s="4" t="e">
        <f>VLOOKUP(H2232,Stock_list!A:Y,25,FALSE)</f>
        <v>#N/A</v>
      </c>
      <c r="Q2232" s="133"/>
      <c r="T2232" s="144"/>
      <c r="U2232" s="145" t="e">
        <f>VLOOKUP(H2232,Stock_list!A:N,14,FALSE)</f>
        <v>#N/A</v>
      </c>
    </row>
    <row r="2233" spans="1:21" ht="16.5" customHeight="1">
      <c r="A2233" s="159" t="s">
        <v>264</v>
      </c>
      <c r="B2233" s="114" t="str">
        <f>VLOOKUP(A2233,'Data pick slip'!B:F,5,FALSE)</f>
        <v>KHJ-MC200-00</v>
      </c>
      <c r="F2233" s="157" t="s">
        <v>379</v>
      </c>
      <c r="H2233" s="138">
        <v>770</v>
      </c>
      <c r="I2233" s="139" t="e">
        <f>VLOOKUP(H2233,Stock_list!A:R,18,FALSE)</f>
        <v>#N/A</v>
      </c>
      <c r="J2233" s="139" t="e">
        <f>VLOOKUP(H2233,Stock_list!A:S,17,FALSE)</f>
        <v>#N/A</v>
      </c>
      <c r="K2233" s="51" t="e">
        <f>VLOOKUP(H2233,Stock_list!A:T,16,FALSE)</f>
        <v>#N/A</v>
      </c>
      <c r="L2233" s="4">
        <v>44103</v>
      </c>
      <c r="M2233" s="132">
        <v>30</v>
      </c>
      <c r="P2233" s="4" t="e">
        <f>VLOOKUP(H2233,Stock_list!A:Y,25,FALSE)</f>
        <v>#N/A</v>
      </c>
      <c r="Q2233" s="133"/>
      <c r="T2233" s="144"/>
      <c r="U2233" s="145" t="e">
        <f>VLOOKUP(H2233,Stock_list!A:N,14,FALSE)</f>
        <v>#N/A</v>
      </c>
    </row>
    <row r="2234" spans="1:21" ht="16.5" customHeight="1">
      <c r="A2234" s="159" t="s">
        <v>265</v>
      </c>
      <c r="B2234" s="114" t="str">
        <f>VLOOKUP(A2234,'Data pick slip'!B:F,5,FALSE)</f>
        <v>KHJ-MC400-00</v>
      </c>
      <c r="F2234" s="157" t="s">
        <v>379</v>
      </c>
      <c r="H2234" s="138">
        <v>770</v>
      </c>
      <c r="I2234" s="139" t="e">
        <f>VLOOKUP(H2234,Stock_list!A:R,18,FALSE)</f>
        <v>#N/A</v>
      </c>
      <c r="J2234" s="139" t="e">
        <f>VLOOKUP(H2234,Stock_list!A:S,17,FALSE)</f>
        <v>#N/A</v>
      </c>
      <c r="K2234" s="51" t="e">
        <f>VLOOKUP(H2234,Stock_list!A:T,16,FALSE)</f>
        <v>#N/A</v>
      </c>
      <c r="L2234" s="4">
        <v>44103</v>
      </c>
      <c r="M2234" s="132">
        <v>6</v>
      </c>
      <c r="P2234" s="4" t="e">
        <f>VLOOKUP(H2234,Stock_list!A:Y,25,FALSE)</f>
        <v>#N/A</v>
      </c>
      <c r="Q2234" s="133"/>
      <c r="T2234" s="144"/>
      <c r="U2234" s="145" t="e">
        <f>VLOOKUP(H2234,Stock_list!A:N,14,FALSE)</f>
        <v>#N/A</v>
      </c>
    </row>
    <row r="2235" spans="1:21" ht="16.5" customHeight="1">
      <c r="A2235" s="159" t="s">
        <v>266</v>
      </c>
      <c r="B2235" s="114" t="str">
        <f>VLOOKUP(A2235,'Data pick slip'!B:F,5,FALSE)</f>
        <v>KHJ-MC500-00</v>
      </c>
      <c r="F2235" s="157" t="s">
        <v>379</v>
      </c>
      <c r="H2235" s="138">
        <v>770</v>
      </c>
      <c r="I2235" s="139" t="e">
        <f>VLOOKUP(H2235,Stock_list!A:R,18,FALSE)</f>
        <v>#N/A</v>
      </c>
      <c r="J2235" s="139" t="e">
        <f>VLOOKUP(H2235,Stock_list!A:S,17,FALSE)</f>
        <v>#N/A</v>
      </c>
      <c r="K2235" s="51" t="e">
        <f>VLOOKUP(H2235,Stock_list!A:T,16,FALSE)</f>
        <v>#N/A</v>
      </c>
      <c r="L2235" s="4">
        <v>44103</v>
      </c>
      <c r="M2235" s="132">
        <v>3</v>
      </c>
      <c r="P2235" s="4" t="e">
        <f>VLOOKUP(H2235,Stock_list!A:Y,25,FALSE)</f>
        <v>#N/A</v>
      </c>
      <c r="Q2235" s="133"/>
      <c r="T2235" s="144"/>
      <c r="U2235" s="145" t="e">
        <f>VLOOKUP(H2235,Stock_list!A:N,14,FALSE)</f>
        <v>#N/A</v>
      </c>
    </row>
    <row r="2236" spans="1:21" ht="16.5" customHeight="1">
      <c r="A2236" s="159" t="s">
        <v>261</v>
      </c>
      <c r="B2236" s="114" t="str">
        <f>VLOOKUP(A2236,'Data pick slip'!B:F,5,FALSE)</f>
        <v>KHJ-MC100-00</v>
      </c>
      <c r="F2236" s="157" t="s">
        <v>290</v>
      </c>
      <c r="H2236" s="138">
        <v>771</v>
      </c>
      <c r="I2236" s="139" t="e">
        <f>VLOOKUP(H2236,Stock_list!A:R,18,FALSE)</f>
        <v>#N/A</v>
      </c>
      <c r="J2236" s="139" t="e">
        <f>VLOOKUP(H2236,Stock_list!A:S,17,FALSE)</f>
        <v>#N/A</v>
      </c>
      <c r="K2236" s="51" t="e">
        <f>VLOOKUP(H2236,Stock_list!A:T,16,FALSE)</f>
        <v>#N/A</v>
      </c>
      <c r="L2236" s="4">
        <v>44075</v>
      </c>
      <c r="M2236" s="140">
        <v>20</v>
      </c>
      <c r="P2236" s="4" t="e">
        <f>VLOOKUP(H2236,Stock_list!A:Y,25,FALSE)</f>
        <v>#N/A</v>
      </c>
      <c r="Q2236" s="133"/>
      <c r="T2236" s="144"/>
      <c r="U2236" s="145" t="e">
        <f>VLOOKUP(H2236,Stock_list!A:N,14,FALSE)</f>
        <v>#N/A</v>
      </c>
    </row>
    <row r="2237" spans="1:21" ht="16.5" customHeight="1">
      <c r="A2237" s="159" t="s">
        <v>264</v>
      </c>
      <c r="B2237" s="114" t="str">
        <f>VLOOKUP(A2237,'Data pick slip'!B:F,5,FALSE)</f>
        <v>KHJ-MC200-00</v>
      </c>
      <c r="F2237" s="157" t="s">
        <v>290</v>
      </c>
      <c r="H2237" s="138">
        <v>771</v>
      </c>
      <c r="I2237" s="139" t="e">
        <f>VLOOKUP(H2237,Stock_list!A:R,18,FALSE)</f>
        <v>#N/A</v>
      </c>
      <c r="J2237" s="139" t="e">
        <f>VLOOKUP(H2237,Stock_list!A:S,17,FALSE)</f>
        <v>#N/A</v>
      </c>
      <c r="K2237" s="51" t="e">
        <f>VLOOKUP(H2237,Stock_list!A:T,16,FALSE)</f>
        <v>#N/A</v>
      </c>
      <c r="L2237" s="4">
        <v>44075</v>
      </c>
      <c r="M2237" s="140">
        <v>10</v>
      </c>
      <c r="P2237" s="4" t="e">
        <f>VLOOKUP(H2237,Stock_list!A:Y,25,FALSE)</f>
        <v>#N/A</v>
      </c>
      <c r="Q2237" s="133"/>
      <c r="T2237" s="144"/>
      <c r="U2237" s="145" t="e">
        <f>VLOOKUP(H2237,Stock_list!A:N,14,FALSE)</f>
        <v>#N/A</v>
      </c>
    </row>
    <row r="2238" spans="1:21" ht="16.5" customHeight="1">
      <c r="A2238" s="159" t="s">
        <v>265</v>
      </c>
      <c r="B2238" s="114" t="str">
        <f>VLOOKUP(A2238,'Data pick slip'!B:F,5,FALSE)</f>
        <v>KHJ-MC400-00</v>
      </c>
      <c r="F2238" s="157" t="s">
        <v>290</v>
      </c>
      <c r="H2238" s="138">
        <v>771</v>
      </c>
      <c r="I2238" s="139" t="e">
        <f>VLOOKUP(H2238,Stock_list!A:R,18,FALSE)</f>
        <v>#N/A</v>
      </c>
      <c r="J2238" s="139" t="e">
        <f>VLOOKUP(H2238,Stock_list!A:S,17,FALSE)</f>
        <v>#N/A</v>
      </c>
      <c r="K2238" s="51" t="e">
        <f>VLOOKUP(H2238,Stock_list!A:T,16,FALSE)</f>
        <v>#N/A</v>
      </c>
      <c r="L2238" s="4">
        <v>44075</v>
      </c>
      <c r="M2238" s="140">
        <v>1</v>
      </c>
      <c r="P2238" s="4" t="e">
        <f>VLOOKUP(H2238,Stock_list!A:Y,25,FALSE)</f>
        <v>#N/A</v>
      </c>
      <c r="Q2238" s="133"/>
      <c r="T2238" s="144"/>
      <c r="U2238" s="145" t="e">
        <f>VLOOKUP(H2238,Stock_list!A:N,14,FALSE)</f>
        <v>#N/A</v>
      </c>
    </row>
    <row r="2239" spans="1:21" ht="16.5" customHeight="1">
      <c r="A2239" s="159" t="s">
        <v>261</v>
      </c>
      <c r="B2239" s="114" t="str">
        <f>VLOOKUP(A2239,'Data pick slip'!B:F,5,FALSE)</f>
        <v>KHJ-MC100-00</v>
      </c>
      <c r="F2239" s="157" t="s">
        <v>290</v>
      </c>
      <c r="H2239" s="138">
        <v>771</v>
      </c>
      <c r="I2239" s="139" t="e">
        <f>VLOOKUP(H2239,Stock_list!A:R,18,FALSE)</f>
        <v>#N/A</v>
      </c>
      <c r="J2239" s="139" t="e">
        <f>VLOOKUP(H2239,Stock_list!A:S,17,FALSE)</f>
        <v>#N/A</v>
      </c>
      <c r="K2239" s="51" t="e">
        <f>VLOOKUP(H2239,Stock_list!A:T,16,FALSE)</f>
        <v>#N/A</v>
      </c>
      <c r="L2239" s="4">
        <v>44103</v>
      </c>
      <c r="M2239" s="132">
        <v>20</v>
      </c>
      <c r="P2239" s="4" t="e">
        <f>VLOOKUP(H2239,Stock_list!A:Y,25,FALSE)</f>
        <v>#N/A</v>
      </c>
      <c r="Q2239" s="133"/>
      <c r="T2239" s="144"/>
      <c r="U2239" s="145" t="e">
        <f>VLOOKUP(H2239,Stock_list!A:N,14,FALSE)</f>
        <v>#N/A</v>
      </c>
    </row>
    <row r="2240" spans="1:21" ht="16.5" customHeight="1">
      <c r="A2240" s="159" t="s">
        <v>264</v>
      </c>
      <c r="B2240" s="114" t="str">
        <f>VLOOKUP(A2240,'Data pick slip'!B:F,5,FALSE)</f>
        <v>KHJ-MC200-00</v>
      </c>
      <c r="F2240" s="157" t="s">
        <v>290</v>
      </c>
      <c r="H2240" s="138">
        <v>771</v>
      </c>
      <c r="I2240" s="139" t="e">
        <f>VLOOKUP(H2240,Stock_list!A:R,18,FALSE)</f>
        <v>#N/A</v>
      </c>
      <c r="J2240" s="139" t="e">
        <f>VLOOKUP(H2240,Stock_list!A:S,17,FALSE)</f>
        <v>#N/A</v>
      </c>
      <c r="K2240" s="51" t="e">
        <f>VLOOKUP(H2240,Stock_list!A:T,16,FALSE)</f>
        <v>#N/A</v>
      </c>
      <c r="L2240" s="4">
        <v>44103</v>
      </c>
      <c r="M2240" s="132">
        <v>10</v>
      </c>
      <c r="P2240" s="4" t="e">
        <f>VLOOKUP(H2240,Stock_list!A:Y,25,FALSE)</f>
        <v>#N/A</v>
      </c>
      <c r="Q2240" s="133"/>
      <c r="T2240" s="144"/>
      <c r="U2240" s="145" t="e">
        <f>VLOOKUP(H2240,Stock_list!A:N,14,FALSE)</f>
        <v>#N/A</v>
      </c>
    </row>
    <row r="2241" spans="1:21" ht="16.5" customHeight="1">
      <c r="A2241" s="159" t="s">
        <v>265</v>
      </c>
      <c r="B2241" s="114" t="str">
        <f>VLOOKUP(A2241,'Data pick slip'!B:F,5,FALSE)</f>
        <v>KHJ-MC400-00</v>
      </c>
      <c r="F2241" s="157" t="s">
        <v>290</v>
      </c>
      <c r="H2241" s="138">
        <v>771</v>
      </c>
      <c r="I2241" s="139" t="e">
        <f>VLOOKUP(H2241,Stock_list!A:R,18,FALSE)</f>
        <v>#N/A</v>
      </c>
      <c r="J2241" s="139" t="e">
        <f>VLOOKUP(H2241,Stock_list!A:S,17,FALSE)</f>
        <v>#N/A</v>
      </c>
      <c r="K2241" s="51" t="e">
        <f>VLOOKUP(H2241,Stock_list!A:T,16,FALSE)</f>
        <v>#N/A</v>
      </c>
      <c r="L2241" s="4">
        <v>44103</v>
      </c>
      <c r="M2241" s="132">
        <v>1</v>
      </c>
      <c r="P2241" s="4" t="e">
        <f>VLOOKUP(H2241,Stock_list!A:Y,25,FALSE)</f>
        <v>#N/A</v>
      </c>
      <c r="Q2241" s="133"/>
      <c r="T2241" s="144"/>
      <c r="U2241" s="145" t="e">
        <f>VLOOKUP(H2241,Stock_list!A:N,14,FALSE)</f>
        <v>#N/A</v>
      </c>
    </row>
    <row r="2242" spans="1:21" ht="16.5" customHeight="1">
      <c r="A2242" s="159" t="s">
        <v>261</v>
      </c>
      <c r="B2242" s="114" t="str">
        <f>VLOOKUP(A2242,'Data pick slip'!B:F,5,FALSE)</f>
        <v>KHJ-MC100-00</v>
      </c>
      <c r="F2242" s="157" t="s">
        <v>290</v>
      </c>
      <c r="I2242" s="139" t="s">
        <v>623</v>
      </c>
      <c r="J2242" s="139" t="s">
        <v>845</v>
      </c>
      <c r="K2242" s="51" t="s">
        <v>225</v>
      </c>
      <c r="L2242" s="4">
        <v>44053</v>
      </c>
      <c r="M2242" s="140">
        <v>2</v>
      </c>
      <c r="P2242" s="4" t="s">
        <v>214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264</v>
      </c>
      <c r="B2243" s="114" t="str">
        <f>VLOOKUP(A2243,'Data pick slip'!B:F,5,FALSE)</f>
        <v>KHJ-MC200-00</v>
      </c>
      <c r="F2243" s="157" t="s">
        <v>290</v>
      </c>
      <c r="I2243" s="139" t="s">
        <v>623</v>
      </c>
      <c r="J2243" s="139" t="s">
        <v>846</v>
      </c>
      <c r="K2243" s="51" t="s">
        <v>225</v>
      </c>
      <c r="L2243" s="4">
        <v>44053</v>
      </c>
      <c r="M2243" s="140">
        <v>3</v>
      </c>
      <c r="P2243" s="4" t="s">
        <v>214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272</v>
      </c>
      <c r="B2244" s="114" t="str">
        <f>VLOOKUP(A2244,'Data pick slip'!B:F,5,FALSE)</f>
        <v>KLJ-MC100-00</v>
      </c>
      <c r="F2244" s="157" t="s">
        <v>290</v>
      </c>
      <c r="I2244" s="139" t="s">
        <v>611</v>
      </c>
      <c r="J2244" s="139" t="s">
        <v>847</v>
      </c>
      <c r="K2244" s="51" t="s">
        <v>225</v>
      </c>
      <c r="L2244" s="4">
        <v>44053</v>
      </c>
      <c r="M2244" s="140">
        <v>40</v>
      </c>
      <c r="P2244" s="4" t="s">
        <v>214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261</v>
      </c>
      <c r="B2245" s="114" t="str">
        <f>VLOOKUP(A2245,'Data pick slip'!B:F,5,FALSE)</f>
        <v>KHJ-MC100-00</v>
      </c>
      <c r="F2245" s="157" t="s">
        <v>290</v>
      </c>
      <c r="I2245" s="139" t="s">
        <v>611</v>
      </c>
      <c r="J2245" s="139" t="s">
        <v>848</v>
      </c>
      <c r="K2245" s="51" t="s">
        <v>225</v>
      </c>
      <c r="L2245" s="4">
        <v>44056</v>
      </c>
      <c r="M2245" s="140">
        <v>20</v>
      </c>
      <c r="P2245" s="4" t="s">
        <v>214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261</v>
      </c>
      <c r="B2246" s="114" t="str">
        <f>VLOOKUP(A2246,'Data pick slip'!B:F,5,FALSE)</f>
        <v>KHJ-MC100-00</v>
      </c>
      <c r="F2246" s="157" t="s">
        <v>379</v>
      </c>
      <c r="I2246" s="139" t="s">
        <v>533</v>
      </c>
      <c r="J2246" s="139" t="s">
        <v>849</v>
      </c>
      <c r="K2246" s="51" t="s">
        <v>225</v>
      </c>
      <c r="L2246" s="4">
        <v>44039</v>
      </c>
      <c r="M2246" s="140">
        <v>50</v>
      </c>
      <c r="P2246" s="4" t="s">
        <v>214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264</v>
      </c>
      <c r="B2247" s="114" t="str">
        <f>VLOOKUP(A2247,'Data pick slip'!B:F,5,FALSE)</f>
        <v>KHJ-MC200-00</v>
      </c>
      <c r="F2247" s="157" t="s">
        <v>379</v>
      </c>
      <c r="I2247" s="139" t="s">
        <v>533</v>
      </c>
      <c r="J2247" s="139" t="s">
        <v>849</v>
      </c>
      <c r="K2247" s="51" t="s">
        <v>225</v>
      </c>
      <c r="L2247" s="4">
        <v>44039</v>
      </c>
      <c r="M2247" s="140">
        <v>50</v>
      </c>
      <c r="P2247" s="4" t="s">
        <v>214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265</v>
      </c>
      <c r="B2248" s="114" t="str">
        <f>VLOOKUP(A2248,'Data pick slip'!B:F,5,FALSE)</f>
        <v>KHJ-MC400-00</v>
      </c>
      <c r="F2248" s="157" t="s">
        <v>379</v>
      </c>
      <c r="I2248" s="139" t="s">
        <v>533</v>
      </c>
      <c r="J2248" s="139" t="s">
        <v>849</v>
      </c>
      <c r="K2248" s="51" t="s">
        <v>225</v>
      </c>
      <c r="L2248" s="4">
        <v>44039</v>
      </c>
      <c r="M2248" s="140">
        <v>10</v>
      </c>
      <c r="P2248" s="4" t="s">
        <v>214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266</v>
      </c>
      <c r="B2249" s="114" t="str">
        <f>VLOOKUP(A2249,'Data pick slip'!B:F,5,FALSE)</f>
        <v>KHJ-MC500-00</v>
      </c>
      <c r="F2249" s="157" t="s">
        <v>379</v>
      </c>
      <c r="I2249" s="139" t="s">
        <v>533</v>
      </c>
      <c r="J2249" s="139" t="s">
        <v>849</v>
      </c>
      <c r="K2249" s="51" t="s">
        <v>225</v>
      </c>
      <c r="L2249" s="4">
        <v>44039</v>
      </c>
      <c r="M2249" s="140">
        <v>5</v>
      </c>
      <c r="P2249" s="4" t="s">
        <v>214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261</v>
      </c>
      <c r="B2250" s="114" t="str">
        <f>VLOOKUP(A2250,'Data pick slip'!B:F,5,FALSE)</f>
        <v>KHJ-MC100-00</v>
      </c>
      <c r="F2250" s="157" t="s">
        <v>379</v>
      </c>
      <c r="I2250" s="139" t="s">
        <v>533</v>
      </c>
      <c r="J2250" s="139" t="s">
        <v>850</v>
      </c>
      <c r="K2250" s="51" t="s">
        <v>225</v>
      </c>
      <c r="L2250" s="4">
        <v>44048</v>
      </c>
      <c r="M2250" s="140">
        <v>150</v>
      </c>
      <c r="P2250" s="4" t="s">
        <v>214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267</v>
      </c>
      <c r="B2251" s="114" t="str">
        <f>VLOOKUP(A2251,'Data pick slip'!B:F,5,FALSE)</f>
        <v>KHJ-MC600-00</v>
      </c>
      <c r="F2251" s="157" t="s">
        <v>290</v>
      </c>
      <c r="I2251" s="139" t="s">
        <v>611</v>
      </c>
      <c r="J2251" s="139" t="s">
        <v>851</v>
      </c>
      <c r="K2251" s="51" t="s">
        <v>225</v>
      </c>
      <c r="L2251" s="4">
        <v>44057</v>
      </c>
      <c r="M2251" s="140">
        <v>1</v>
      </c>
      <c r="P2251" s="4" t="s">
        <v>214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264</v>
      </c>
      <c r="B2252" s="114" t="str">
        <f>VLOOKUP(A2252,'Data pick slip'!B:F,5,FALSE)</f>
        <v>KHJ-MC200-00</v>
      </c>
      <c r="F2252" s="157" t="s">
        <v>290</v>
      </c>
      <c r="I2252" s="139" t="s">
        <v>611</v>
      </c>
      <c r="J2252" s="139" t="s">
        <v>852</v>
      </c>
      <c r="K2252" s="51" t="s">
        <v>225</v>
      </c>
      <c r="L2252" s="4">
        <v>44057</v>
      </c>
      <c r="M2252" s="140">
        <v>5</v>
      </c>
      <c r="P2252" s="4" t="s">
        <v>214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261</v>
      </c>
      <c r="B2253" s="114" t="str">
        <f>VLOOKUP(A2253,'Data pick slip'!B:F,5,FALSE)</f>
        <v>KHJ-MC100-00</v>
      </c>
      <c r="F2253" s="157" t="s">
        <v>290</v>
      </c>
      <c r="H2253" s="138">
        <v>773</v>
      </c>
      <c r="I2253" s="139" t="e">
        <f>VLOOKUP(H2253,Stock_list!A:R,18,FALSE)</f>
        <v>#N/A</v>
      </c>
      <c r="J2253" s="139" t="e">
        <f>VLOOKUP(H2253,Stock_list!A:S,17,FALSE)</f>
        <v>#N/A</v>
      </c>
      <c r="K2253" s="51" t="e">
        <f>VLOOKUP(H2253,Stock_list!A:T,16,FALSE)</f>
        <v>#N/A</v>
      </c>
      <c r="L2253" s="4">
        <v>44079</v>
      </c>
      <c r="M2253" s="132">
        <v>50</v>
      </c>
      <c r="P2253" s="4" t="e">
        <f>VLOOKUP(H2253,Stock_list!A:Y,25,FALSE)</f>
        <v>#N/A</v>
      </c>
      <c r="Q2253" s="133"/>
      <c r="T2253" s="144"/>
      <c r="U2253" s="145" t="e">
        <f>VLOOKUP(H2253,Stock_list!A:N,14,FALSE)</f>
        <v>#N/A</v>
      </c>
    </row>
    <row r="2254" spans="1:21" ht="16.5" customHeight="1">
      <c r="A2254" s="159" t="s">
        <v>264</v>
      </c>
      <c r="B2254" s="114" t="str">
        <f>VLOOKUP(A2254,'Data pick slip'!B:F,5,FALSE)</f>
        <v>KHJ-MC200-00</v>
      </c>
      <c r="F2254" s="157" t="s">
        <v>290</v>
      </c>
      <c r="H2254" s="138">
        <v>773</v>
      </c>
      <c r="I2254" s="139" t="e">
        <f>VLOOKUP(H2254,Stock_list!A:R,18,FALSE)</f>
        <v>#N/A</v>
      </c>
      <c r="J2254" s="139" t="e">
        <f>VLOOKUP(H2254,Stock_list!A:S,17,FALSE)</f>
        <v>#N/A</v>
      </c>
      <c r="K2254" s="51" t="e">
        <f>VLOOKUP(H2254,Stock_list!A:T,16,FALSE)</f>
        <v>#N/A</v>
      </c>
      <c r="L2254" s="4">
        <v>44079</v>
      </c>
      <c r="M2254" s="132">
        <v>20</v>
      </c>
      <c r="P2254" s="4" t="e">
        <f>VLOOKUP(H2254,Stock_list!A:Y,25,FALSE)</f>
        <v>#N/A</v>
      </c>
      <c r="Q2254" s="133"/>
      <c r="T2254" s="144"/>
      <c r="U2254" s="145" t="e">
        <f>VLOOKUP(H2254,Stock_list!A:N,14,FALSE)</f>
        <v>#N/A</v>
      </c>
    </row>
    <row r="2255" spans="1:21" ht="16.5" customHeight="1">
      <c r="A2255" s="159" t="s">
        <v>265</v>
      </c>
      <c r="B2255" s="114" t="str">
        <f>VLOOKUP(A2255,'Data pick slip'!B:F,5,FALSE)</f>
        <v>KHJ-MC400-00</v>
      </c>
      <c r="F2255" s="157" t="s">
        <v>290</v>
      </c>
      <c r="H2255" s="138">
        <v>773</v>
      </c>
      <c r="I2255" s="139" t="e">
        <f>VLOOKUP(H2255,Stock_list!A:R,18,FALSE)</f>
        <v>#N/A</v>
      </c>
      <c r="J2255" s="139" t="e">
        <f>VLOOKUP(H2255,Stock_list!A:S,17,FALSE)</f>
        <v>#N/A</v>
      </c>
      <c r="K2255" s="51" t="e">
        <f>VLOOKUP(H2255,Stock_list!A:T,16,FALSE)</f>
        <v>#N/A</v>
      </c>
      <c r="L2255" s="4">
        <v>44079</v>
      </c>
      <c r="M2255" s="132">
        <v>10</v>
      </c>
      <c r="P2255" s="4" t="e">
        <f>VLOOKUP(H2255,Stock_list!A:Y,25,FALSE)</f>
        <v>#N/A</v>
      </c>
      <c r="Q2255" s="133"/>
      <c r="T2255" s="144"/>
      <c r="U2255" s="145" t="e">
        <f>VLOOKUP(H2255,Stock_list!A:N,14,FALSE)</f>
        <v>#N/A</v>
      </c>
    </row>
    <row r="2256" spans="1:21" ht="16.5" customHeight="1">
      <c r="A2256" s="159" t="s">
        <v>266</v>
      </c>
      <c r="B2256" s="114" t="str">
        <f>VLOOKUP(A2256,'Data pick slip'!B:F,5,FALSE)</f>
        <v>KHJ-MC500-00</v>
      </c>
      <c r="F2256" s="157" t="s">
        <v>290</v>
      </c>
      <c r="H2256" s="138">
        <v>773</v>
      </c>
      <c r="I2256" s="139" t="e">
        <f>VLOOKUP(H2256,Stock_list!A:R,18,FALSE)</f>
        <v>#N/A</v>
      </c>
      <c r="J2256" s="139" t="e">
        <f>VLOOKUP(H2256,Stock_list!A:S,17,FALSE)</f>
        <v>#N/A</v>
      </c>
      <c r="K2256" s="51" t="e">
        <f>VLOOKUP(H2256,Stock_list!A:T,16,FALSE)</f>
        <v>#N/A</v>
      </c>
      <c r="L2256" s="4">
        <v>44079</v>
      </c>
      <c r="M2256" s="132">
        <v>2</v>
      </c>
      <c r="P2256" s="4" t="e">
        <f>VLOOKUP(H2256,Stock_list!A:Y,25,FALSE)</f>
        <v>#N/A</v>
      </c>
      <c r="Q2256" s="133"/>
      <c r="T2256" s="144"/>
      <c r="U2256" s="145" t="e">
        <f>VLOOKUP(H2256,Stock_list!A:N,14,FALSE)</f>
        <v>#N/A</v>
      </c>
    </row>
    <row r="2257" spans="1:21" ht="16.5" customHeight="1">
      <c r="A2257" s="159" t="s">
        <v>267</v>
      </c>
      <c r="B2257" s="114" t="str">
        <f>VLOOKUP(A2257,'Data pick slip'!B:F,5,FALSE)</f>
        <v>KHJ-MC600-00</v>
      </c>
      <c r="F2257" s="157" t="s">
        <v>290</v>
      </c>
      <c r="H2257" s="138">
        <v>773</v>
      </c>
      <c r="I2257" s="139" t="e">
        <f>VLOOKUP(H2257,Stock_list!A:R,18,FALSE)</f>
        <v>#N/A</v>
      </c>
      <c r="J2257" s="139" t="e">
        <f>VLOOKUP(H2257,Stock_list!A:S,17,FALSE)</f>
        <v>#N/A</v>
      </c>
      <c r="K2257" s="51" t="e">
        <f>VLOOKUP(H2257,Stock_list!A:T,16,FALSE)</f>
        <v>#N/A</v>
      </c>
      <c r="L2257" s="4">
        <v>44079</v>
      </c>
      <c r="M2257" s="132">
        <v>2</v>
      </c>
      <c r="P2257" s="4" t="e">
        <f>VLOOKUP(H2257,Stock_list!A:Y,25,FALSE)</f>
        <v>#N/A</v>
      </c>
      <c r="Q2257" s="133"/>
      <c r="T2257" s="144"/>
      <c r="U2257" s="145" t="e">
        <f>VLOOKUP(H2257,Stock_list!A:N,14,FALSE)</f>
        <v>#N/A</v>
      </c>
    </row>
    <row r="2258" spans="1:21" ht="16.5" customHeight="1">
      <c r="A2258" s="159" t="s">
        <v>264</v>
      </c>
      <c r="B2258" s="114" t="str">
        <f>VLOOKUP(A2258,'Data pick slip'!B:F,5,FALSE)</f>
        <v>KHJ-MC200-00</v>
      </c>
      <c r="F2258" s="157" t="s">
        <v>379</v>
      </c>
      <c r="H2258" s="138">
        <v>787</v>
      </c>
      <c r="I2258" s="139" t="e">
        <f>VLOOKUP(H2258,Stock_list!A:R,18,FALSE)</f>
        <v>#N/A</v>
      </c>
      <c r="J2258" s="139" t="e">
        <f>VLOOKUP(H2258,Stock_list!A:S,17,FALSE)</f>
        <v>#N/A</v>
      </c>
      <c r="K2258" s="51" t="e">
        <f>VLOOKUP(H2258,Stock_list!A:T,16,FALSE)</f>
        <v>#N/A</v>
      </c>
      <c r="L2258" s="4">
        <v>44139</v>
      </c>
      <c r="M2258" s="140">
        <v>17</v>
      </c>
      <c r="P2258" s="4" t="e">
        <f>VLOOKUP(H2258,Stock_list!A:Y,25,FALSE)</f>
        <v>#N/A</v>
      </c>
      <c r="Q2258" s="143"/>
      <c r="T2258" s="144"/>
      <c r="U2258" s="145" t="e">
        <f>VLOOKUP(H2258,Stock_list!A:N,14,FALSE)</f>
        <v>#N/A</v>
      </c>
    </row>
    <row r="2259" spans="1:21" ht="16.5" customHeight="1">
      <c r="A2259" s="159" t="s">
        <v>264</v>
      </c>
      <c r="B2259" s="114" t="str">
        <f>VLOOKUP(A2259,'Data pick slip'!B:F,5,FALSE)</f>
        <v>KHJ-MC200-00</v>
      </c>
      <c r="F2259" s="157" t="s">
        <v>379</v>
      </c>
      <c r="H2259" s="138">
        <v>787</v>
      </c>
      <c r="I2259" s="139" t="e">
        <f>VLOOKUP(H2259,Stock_list!A:R,18,FALSE)</f>
        <v>#N/A</v>
      </c>
      <c r="J2259" s="139" t="e">
        <f>VLOOKUP(H2259,Stock_list!A:S,17,FALSE)</f>
        <v>#N/A</v>
      </c>
      <c r="K2259" s="51" t="e">
        <f>VLOOKUP(H2259,Stock_list!A:T,16,FALSE)</f>
        <v>#N/A</v>
      </c>
      <c r="L2259" s="4">
        <v>44139</v>
      </c>
      <c r="M2259" s="140">
        <v>3</v>
      </c>
      <c r="P2259" s="4" t="e">
        <f>VLOOKUP(H2259,Stock_list!A:Y,25,FALSE)</f>
        <v>#N/A</v>
      </c>
      <c r="Q2259" s="143"/>
      <c r="T2259" s="144"/>
      <c r="U2259" s="145" t="e">
        <f>VLOOKUP(H2259,Stock_list!A:N,14,FALSE)</f>
        <v>#N/A</v>
      </c>
    </row>
    <row r="2260" spans="1:21" ht="16.5" customHeight="1">
      <c r="A2260" s="159" t="s">
        <v>264</v>
      </c>
      <c r="B2260" s="114" t="str">
        <f>VLOOKUP(A2260,'Data pick slip'!B:F,5,FALSE)</f>
        <v>KHJ-MC200-00</v>
      </c>
      <c r="F2260" s="157" t="s">
        <v>290</v>
      </c>
      <c r="H2260" s="138">
        <v>787</v>
      </c>
      <c r="I2260" s="139" t="e">
        <f>VLOOKUP(H2260,Stock_list!A:R,18,FALSE)</f>
        <v>#N/A</v>
      </c>
      <c r="J2260" s="139" t="e">
        <f>VLOOKUP(H2260,Stock_list!A:S,17,FALSE)</f>
        <v>#N/A</v>
      </c>
      <c r="K2260" s="51" t="e">
        <f>VLOOKUP(H2260,Stock_list!A:T,16,FALSE)</f>
        <v>#N/A</v>
      </c>
      <c r="L2260" s="4">
        <v>44133</v>
      </c>
      <c r="O2260" s="132">
        <f>5-5</f>
        <v>0</v>
      </c>
      <c r="P2260" s="4" t="e">
        <f>VLOOKUP(H2260,Stock_list!A:Y,25,FALSE)</f>
        <v>#N/A</v>
      </c>
      <c r="Q2260" s="143"/>
      <c r="T2260" s="144"/>
      <c r="U2260" s="145" t="e">
        <f>VLOOKUP(H2260,Stock_list!A:N,14,FALSE)</f>
        <v>#N/A</v>
      </c>
    </row>
    <row r="2261" spans="1:21" ht="16.5" customHeight="1">
      <c r="A2261" s="159" t="s">
        <v>261</v>
      </c>
      <c r="B2261" s="114" t="str">
        <f>VLOOKUP(A2261,'Data pick slip'!B:F,5,FALSE)</f>
        <v>KHJ-MC100-00</v>
      </c>
      <c r="F2261" s="157" t="s">
        <v>290</v>
      </c>
      <c r="I2261" s="139" t="s">
        <v>611</v>
      </c>
      <c r="J2261" s="139" t="s">
        <v>853</v>
      </c>
      <c r="K2261" s="51" t="s">
        <v>225</v>
      </c>
      <c r="L2261" s="4">
        <v>44063</v>
      </c>
      <c r="M2261" s="140">
        <v>20</v>
      </c>
      <c r="P2261" s="4" t="s">
        <v>214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261</v>
      </c>
      <c r="B2262" s="114" t="str">
        <f>VLOOKUP(A2262,'Data pick slip'!B:F,5,FALSE)</f>
        <v>KHJ-MC100-00</v>
      </c>
      <c r="F2262" s="157" t="s">
        <v>290</v>
      </c>
      <c r="H2262" s="138">
        <v>791</v>
      </c>
      <c r="I2262" s="139" t="e">
        <f>VLOOKUP(H2262,Stock_list!A:R,18,FALSE)</f>
        <v>#N/A</v>
      </c>
      <c r="J2262" s="139" t="e">
        <f>VLOOKUP(H2262,Stock_list!A:S,17,FALSE)</f>
        <v>#N/A</v>
      </c>
      <c r="K2262" s="51" t="e">
        <f>VLOOKUP(H2262,Stock_list!A:T,16,FALSE)</f>
        <v>#N/A</v>
      </c>
      <c r="L2262" s="4">
        <v>44133</v>
      </c>
      <c r="M2262" s="132">
        <v>30</v>
      </c>
      <c r="P2262" s="4" t="e">
        <f>VLOOKUP(H2262,Stock_list!A:Y,25,FALSE)</f>
        <v>#N/A</v>
      </c>
      <c r="Q2262" s="133"/>
      <c r="T2262" s="144"/>
      <c r="U2262" s="145" t="e">
        <f>VLOOKUP(H2262,Stock_list!A:N,14,FALSE)</f>
        <v>#N/A</v>
      </c>
    </row>
    <row r="2263" spans="1:21" ht="16.5" customHeight="1">
      <c r="A2263" s="159" t="s">
        <v>264</v>
      </c>
      <c r="B2263" s="114" t="str">
        <f>VLOOKUP(A2263,'Data pick slip'!B:F,5,FALSE)</f>
        <v>KHJ-MC200-00</v>
      </c>
      <c r="F2263" s="157" t="s">
        <v>290</v>
      </c>
      <c r="H2263" s="138">
        <v>791</v>
      </c>
      <c r="I2263" s="139" t="e">
        <f>VLOOKUP(H2263,Stock_list!A:R,18,FALSE)</f>
        <v>#N/A</v>
      </c>
      <c r="J2263" s="139" t="e">
        <f>VLOOKUP(H2263,Stock_list!A:S,17,FALSE)</f>
        <v>#N/A</v>
      </c>
      <c r="K2263" s="51" t="e">
        <f>VLOOKUP(H2263,Stock_list!A:T,16,FALSE)</f>
        <v>#N/A</v>
      </c>
      <c r="L2263" s="4">
        <v>44133</v>
      </c>
      <c r="M2263" s="132">
        <v>5</v>
      </c>
      <c r="P2263" s="4" t="e">
        <f>VLOOKUP(H2263,Stock_list!A:Y,25,FALSE)</f>
        <v>#N/A</v>
      </c>
      <c r="Q2263" s="133"/>
      <c r="T2263" s="144"/>
      <c r="U2263" s="145" t="e">
        <f>VLOOKUP(H2263,Stock_list!A:N,14,FALSE)</f>
        <v>#N/A</v>
      </c>
    </row>
    <row r="2264" spans="1:21" ht="16.5" customHeight="1">
      <c r="A2264" s="159" t="s">
        <v>265</v>
      </c>
      <c r="B2264" s="114" t="str">
        <f>VLOOKUP(A2264,'Data pick slip'!B:F,5,FALSE)</f>
        <v>KHJ-MC400-00</v>
      </c>
      <c r="F2264" s="157" t="s">
        <v>290</v>
      </c>
      <c r="H2264" s="138">
        <v>791</v>
      </c>
      <c r="I2264" s="139" t="e">
        <f>VLOOKUP(H2264,Stock_list!A:R,18,FALSE)</f>
        <v>#N/A</v>
      </c>
      <c r="J2264" s="139" t="e">
        <f>VLOOKUP(H2264,Stock_list!A:S,17,FALSE)</f>
        <v>#N/A</v>
      </c>
      <c r="K2264" s="51" t="e">
        <f>VLOOKUP(H2264,Stock_list!A:T,16,FALSE)</f>
        <v>#N/A</v>
      </c>
      <c r="L2264" s="4">
        <v>44133</v>
      </c>
      <c r="M2264" s="132">
        <v>2</v>
      </c>
      <c r="P2264" s="4" t="e">
        <f>VLOOKUP(H2264,Stock_list!A:Y,25,FALSE)</f>
        <v>#N/A</v>
      </c>
      <c r="Q2264" s="133"/>
      <c r="T2264" s="144"/>
      <c r="U2264" s="145" t="e">
        <f>VLOOKUP(H2264,Stock_list!A:N,14,FALSE)</f>
        <v>#N/A</v>
      </c>
    </row>
    <row r="2265" spans="1:21" ht="16.5" customHeight="1">
      <c r="A2265" s="159" t="s">
        <v>261</v>
      </c>
      <c r="B2265" s="114" t="str">
        <f>VLOOKUP(A2265,'Data pick slip'!B:F,5,FALSE)</f>
        <v>KHJ-MC100-00</v>
      </c>
      <c r="F2265" s="157" t="s">
        <v>379</v>
      </c>
      <c r="I2265" s="139" t="s">
        <v>533</v>
      </c>
      <c r="J2265" s="139" t="s">
        <v>854</v>
      </c>
      <c r="K2265" s="51" t="s">
        <v>225</v>
      </c>
      <c r="L2265" s="4">
        <v>44070</v>
      </c>
      <c r="M2265" s="140">
        <v>50</v>
      </c>
      <c r="P2265" s="4" t="s">
        <v>214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264</v>
      </c>
      <c r="B2266" s="114" t="str">
        <f>VLOOKUP(A2266,'Data pick slip'!B:F,5,FALSE)</f>
        <v>KHJ-MC200-00</v>
      </c>
      <c r="F2266" s="157" t="s">
        <v>379</v>
      </c>
      <c r="I2266" s="139" t="s">
        <v>533</v>
      </c>
      <c r="J2266" s="139" t="s">
        <v>854</v>
      </c>
      <c r="K2266" s="51" t="s">
        <v>225</v>
      </c>
      <c r="L2266" s="4">
        <v>44070</v>
      </c>
      <c r="M2266" s="140">
        <v>20</v>
      </c>
      <c r="P2266" s="4" t="s">
        <v>214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272</v>
      </c>
      <c r="B2267" s="114" t="str">
        <f>VLOOKUP(A2267,'Data pick slip'!B:F,5,FALSE)</f>
        <v>KLJ-MC100-00</v>
      </c>
      <c r="F2267" s="157" t="s">
        <v>290</v>
      </c>
      <c r="H2267" s="138">
        <v>793</v>
      </c>
      <c r="I2267" s="139" t="e">
        <f>VLOOKUP(H2267,Stock_list!A:R,18,FALSE)</f>
        <v>#N/A</v>
      </c>
      <c r="J2267" s="139" t="e">
        <f>VLOOKUP(H2267,Stock_list!A:S,17,FALSE)</f>
        <v>#N/A</v>
      </c>
      <c r="K2267" s="51" t="e">
        <f>VLOOKUP(H2267,Stock_list!A:T,16,FALSE)</f>
        <v>#N/A</v>
      </c>
      <c r="L2267" s="4">
        <v>44090</v>
      </c>
      <c r="M2267" s="140">
        <v>20</v>
      </c>
      <c r="P2267" s="4" t="e">
        <f>VLOOKUP(H2267,Stock_list!A:Y,25,FALSE)</f>
        <v>#N/A</v>
      </c>
      <c r="Q2267" s="143"/>
      <c r="T2267" s="144"/>
      <c r="U2267" s="145" t="e">
        <f>VLOOKUP(H2267,Stock_list!A:N,14,FALSE)</f>
        <v>#N/A</v>
      </c>
    </row>
    <row r="2268" spans="1:21" ht="16.5" customHeight="1">
      <c r="A2268" s="159" t="s">
        <v>261</v>
      </c>
      <c r="B2268" s="114" t="str">
        <f>VLOOKUP(A2268,'Data pick slip'!B:F,5,FALSE)</f>
        <v>KHJ-MC100-00</v>
      </c>
      <c r="F2268" s="157" t="s">
        <v>290</v>
      </c>
      <c r="I2268" s="139" t="s">
        <v>617</v>
      </c>
      <c r="J2268" s="139" t="s">
        <v>855</v>
      </c>
      <c r="K2268" s="51" t="s">
        <v>225</v>
      </c>
      <c r="L2268" s="4">
        <v>44067</v>
      </c>
      <c r="M2268" s="140">
        <v>40</v>
      </c>
      <c r="P2268" s="4" t="s">
        <v>214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261</v>
      </c>
      <c r="B2269" s="114" t="str">
        <f>VLOOKUP(A2269,'Data pick slip'!B:F,5,FALSE)</f>
        <v>KHJ-MC100-00</v>
      </c>
      <c r="F2269" s="157" t="s">
        <v>290</v>
      </c>
      <c r="H2269" s="138">
        <v>795</v>
      </c>
      <c r="I2269" s="139" t="e">
        <f>VLOOKUP(H2269,Stock_list!A:R,18,FALSE)</f>
        <v>#N/A</v>
      </c>
      <c r="J2269" s="139" t="e">
        <f>VLOOKUP(H2269,Stock_list!A:S,17,FALSE)</f>
        <v>#N/A</v>
      </c>
      <c r="K2269" s="51" t="e">
        <f>VLOOKUP(H2269,Stock_list!A:T,16,FALSE)</f>
        <v>#N/A</v>
      </c>
      <c r="L2269" s="4">
        <v>44203</v>
      </c>
      <c r="M2269" s="132">
        <v>70</v>
      </c>
      <c r="P2269" s="4" t="e">
        <f>VLOOKUP(H2269,Stock_list!A:Y,25,FALSE)</f>
        <v>#N/A</v>
      </c>
      <c r="Q2269" s="133"/>
      <c r="T2269" s="144"/>
      <c r="U2269" s="145" t="e">
        <f>VLOOKUP(H2269,Stock_list!A:N,14,FALSE)</f>
        <v>#N/A</v>
      </c>
    </row>
    <row r="2270" spans="1:21" ht="16.5" customHeight="1">
      <c r="A2270" s="159" t="s">
        <v>264</v>
      </c>
      <c r="B2270" s="114" t="str">
        <f>VLOOKUP(A2270,'Data pick slip'!B:F,5,FALSE)</f>
        <v>KHJ-MC200-00</v>
      </c>
      <c r="F2270" s="157" t="s">
        <v>290</v>
      </c>
      <c r="H2270" s="138">
        <v>795</v>
      </c>
      <c r="I2270" s="139" t="e">
        <f>VLOOKUP(H2270,Stock_list!A:R,18,FALSE)</f>
        <v>#N/A</v>
      </c>
      <c r="J2270" s="139" t="e">
        <f>VLOOKUP(H2270,Stock_list!A:S,17,FALSE)</f>
        <v>#N/A</v>
      </c>
      <c r="K2270" s="51" t="e">
        <f>VLOOKUP(H2270,Stock_list!A:T,16,FALSE)</f>
        <v>#N/A</v>
      </c>
      <c r="L2270" s="257" t="s">
        <v>856</v>
      </c>
      <c r="M2270" s="132">
        <v>10</v>
      </c>
      <c r="P2270" s="4" t="e">
        <f>VLOOKUP(H2270,Stock_list!A:Y,25,FALSE)</f>
        <v>#N/A</v>
      </c>
      <c r="Q2270" s="133"/>
      <c r="T2270" s="144"/>
      <c r="U2270" s="145" t="e">
        <f>VLOOKUP(H2270,Stock_list!A:N,14,FALSE)</f>
        <v>#N/A</v>
      </c>
    </row>
    <row r="2271" spans="1:21" ht="16.5" customHeight="1">
      <c r="A2271" s="159" t="s">
        <v>265</v>
      </c>
      <c r="B2271" s="114" t="str">
        <f>VLOOKUP(A2271,'Data pick slip'!B:F,5,FALSE)</f>
        <v>KHJ-MC400-00</v>
      </c>
      <c r="F2271" s="157" t="s">
        <v>290</v>
      </c>
      <c r="H2271" s="138">
        <v>795</v>
      </c>
      <c r="I2271" s="139" t="e">
        <f>VLOOKUP(H2271,Stock_list!A:R,18,FALSE)</f>
        <v>#N/A</v>
      </c>
      <c r="J2271" s="139" t="e">
        <f>VLOOKUP(H2271,Stock_list!A:S,17,FALSE)</f>
        <v>#N/A</v>
      </c>
      <c r="K2271" s="51" t="e">
        <f>VLOOKUP(H2271,Stock_list!A:T,16,FALSE)</f>
        <v>#N/A</v>
      </c>
      <c r="L2271" s="4">
        <v>44203</v>
      </c>
      <c r="M2271" s="132">
        <v>3</v>
      </c>
      <c r="P2271" s="4" t="e">
        <f>VLOOKUP(H2271,Stock_list!A:Y,25,FALSE)</f>
        <v>#N/A</v>
      </c>
      <c r="Q2271" s="133"/>
      <c r="T2271" s="144"/>
      <c r="U2271" s="145" t="e">
        <f>VLOOKUP(H2271,Stock_list!A:N,14,FALSE)</f>
        <v>#N/A</v>
      </c>
    </row>
    <row r="2272" spans="1:21" ht="16.5" customHeight="1">
      <c r="A2272" s="159" t="s">
        <v>266</v>
      </c>
      <c r="B2272" s="114" t="str">
        <f>VLOOKUP(A2272,'Data pick slip'!B:F,5,FALSE)</f>
        <v>KHJ-MC500-00</v>
      </c>
      <c r="F2272" s="157" t="s">
        <v>290</v>
      </c>
      <c r="H2272" s="138">
        <v>795</v>
      </c>
      <c r="I2272" s="139" t="e">
        <f>VLOOKUP(H2272,Stock_list!A:R,18,FALSE)</f>
        <v>#N/A</v>
      </c>
      <c r="J2272" s="139" t="e">
        <f>VLOOKUP(H2272,Stock_list!A:S,17,FALSE)</f>
        <v>#N/A</v>
      </c>
      <c r="K2272" s="51" t="e">
        <f>VLOOKUP(H2272,Stock_list!A:T,16,FALSE)</f>
        <v>#N/A</v>
      </c>
      <c r="L2272" s="4">
        <v>44203</v>
      </c>
      <c r="M2272" s="132">
        <v>3</v>
      </c>
      <c r="P2272" s="4" t="e">
        <f>VLOOKUP(H2272,Stock_list!A:Y,25,FALSE)</f>
        <v>#N/A</v>
      </c>
      <c r="Q2272" s="133"/>
      <c r="T2272" s="144"/>
      <c r="U2272" s="145" t="e">
        <f>VLOOKUP(H2272,Stock_list!A:N,14,FALSE)</f>
        <v>#N/A</v>
      </c>
    </row>
    <row r="2273" spans="1:21" ht="16.5" customHeight="1">
      <c r="A2273" s="159" t="s">
        <v>265</v>
      </c>
      <c r="B2273" s="114" t="str">
        <f>VLOOKUP(A2273,'Data pick slip'!B:F,5,FALSE)</f>
        <v>KHJ-MC400-00</v>
      </c>
      <c r="F2273" s="157" t="s">
        <v>290</v>
      </c>
      <c r="I2273" s="139" t="s">
        <v>611</v>
      </c>
      <c r="J2273" s="139" t="s">
        <v>857</v>
      </c>
      <c r="K2273" s="51" t="s">
        <v>225</v>
      </c>
      <c r="L2273" s="4">
        <v>44074</v>
      </c>
      <c r="M2273" s="140">
        <v>3</v>
      </c>
      <c r="P2273" s="4" t="s">
        <v>214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261</v>
      </c>
      <c r="B2274" s="114" t="str">
        <f>VLOOKUP(A2274,'Data pick slip'!B:F,5,FALSE)</f>
        <v>KHJ-MC100-00</v>
      </c>
      <c r="F2274" s="157" t="s">
        <v>290</v>
      </c>
      <c r="H2274" s="138">
        <v>798</v>
      </c>
      <c r="I2274" s="139" t="e">
        <f>VLOOKUP(H2274,Stock_list!A:R,18,FALSE)</f>
        <v>#N/A</v>
      </c>
      <c r="J2274" s="139" t="e">
        <f>VLOOKUP(H2274,Stock_list!A:S,17,FALSE)</f>
        <v>#N/A</v>
      </c>
      <c r="K2274" s="51" t="e">
        <f>VLOOKUP(H2274,Stock_list!A:T,16,FALSE)</f>
        <v>#N/A</v>
      </c>
      <c r="L2274" s="4">
        <v>44103</v>
      </c>
      <c r="M2274" s="140">
        <v>40</v>
      </c>
      <c r="P2274" s="4" t="e">
        <f>VLOOKUP(H2274,Stock_list!A:Y,25,FALSE)</f>
        <v>#N/A</v>
      </c>
      <c r="Q2274" s="133"/>
      <c r="T2274" s="144"/>
      <c r="U2274" s="145" t="e">
        <f>VLOOKUP(H2274,Stock_list!A:N,14,FALSE)</f>
        <v>#N/A</v>
      </c>
    </row>
    <row r="2275" spans="1:21" ht="16.5" customHeight="1">
      <c r="A2275" s="159" t="s">
        <v>264</v>
      </c>
      <c r="B2275" s="114" t="str">
        <f>VLOOKUP(A2275,'Data pick slip'!B:F,5,FALSE)</f>
        <v>KHJ-MC200-00</v>
      </c>
      <c r="F2275" s="157" t="s">
        <v>290</v>
      </c>
      <c r="H2275" s="138">
        <v>798</v>
      </c>
      <c r="I2275" s="139" t="e">
        <f>VLOOKUP(H2275,Stock_list!A:R,18,FALSE)</f>
        <v>#N/A</v>
      </c>
      <c r="J2275" s="139" t="e">
        <f>VLOOKUP(H2275,Stock_list!A:S,17,FALSE)</f>
        <v>#N/A</v>
      </c>
      <c r="K2275" s="51" t="e">
        <f>VLOOKUP(H2275,Stock_list!A:T,16,FALSE)</f>
        <v>#N/A</v>
      </c>
      <c r="L2275" s="4">
        <v>44103</v>
      </c>
      <c r="M2275" s="140">
        <v>16</v>
      </c>
      <c r="P2275" s="4" t="e">
        <f>VLOOKUP(H2275,Stock_list!A:Y,25,FALSE)</f>
        <v>#N/A</v>
      </c>
      <c r="Q2275" s="133"/>
      <c r="T2275" s="144"/>
      <c r="U2275" s="145" t="e">
        <f>VLOOKUP(H2275,Stock_list!A:N,14,FALSE)</f>
        <v>#N/A</v>
      </c>
    </row>
    <row r="2276" spans="1:21" ht="16.5" customHeight="1">
      <c r="A2276" s="159" t="s">
        <v>265</v>
      </c>
      <c r="B2276" s="114" t="str">
        <f>VLOOKUP(A2276,'Data pick slip'!B:F,5,FALSE)</f>
        <v>KHJ-MC400-00</v>
      </c>
      <c r="F2276" s="157" t="s">
        <v>290</v>
      </c>
      <c r="H2276" s="138">
        <v>798</v>
      </c>
      <c r="I2276" s="139" t="e">
        <f>VLOOKUP(H2276,Stock_list!A:R,18,FALSE)</f>
        <v>#N/A</v>
      </c>
      <c r="J2276" s="139" t="e">
        <f>VLOOKUP(H2276,Stock_list!A:S,17,FALSE)</f>
        <v>#N/A</v>
      </c>
      <c r="K2276" s="51" t="e">
        <f>VLOOKUP(H2276,Stock_list!A:T,16,FALSE)</f>
        <v>#N/A</v>
      </c>
      <c r="L2276" s="4">
        <v>44103</v>
      </c>
      <c r="M2276" s="140">
        <v>12</v>
      </c>
      <c r="P2276" s="4" t="e">
        <f>VLOOKUP(H2276,Stock_list!A:Y,25,FALSE)</f>
        <v>#N/A</v>
      </c>
      <c r="Q2276" s="133"/>
      <c r="T2276" s="144"/>
      <c r="U2276" s="145" t="e">
        <f>VLOOKUP(H2276,Stock_list!A:N,14,FALSE)</f>
        <v>#N/A</v>
      </c>
    </row>
    <row r="2277" spans="1:21" ht="16.5" customHeight="1">
      <c r="A2277" s="159" t="s">
        <v>266</v>
      </c>
      <c r="B2277" s="114" t="str">
        <f>VLOOKUP(A2277,'Data pick slip'!B:F,5,FALSE)</f>
        <v>KHJ-MC500-00</v>
      </c>
      <c r="F2277" s="157" t="s">
        <v>290</v>
      </c>
      <c r="H2277" s="138">
        <v>798</v>
      </c>
      <c r="I2277" s="139" t="e">
        <f>VLOOKUP(H2277,Stock_list!A:R,18,FALSE)</f>
        <v>#N/A</v>
      </c>
      <c r="J2277" s="139" t="e">
        <f>VLOOKUP(H2277,Stock_list!A:S,17,FALSE)</f>
        <v>#N/A</v>
      </c>
      <c r="K2277" s="51" t="e">
        <f>VLOOKUP(H2277,Stock_list!A:T,16,FALSE)</f>
        <v>#N/A</v>
      </c>
      <c r="L2277" s="4">
        <v>44103</v>
      </c>
      <c r="M2277" s="140">
        <v>16</v>
      </c>
      <c r="P2277" s="4" t="e">
        <f>VLOOKUP(H2277,Stock_list!A:Y,25,FALSE)</f>
        <v>#N/A</v>
      </c>
      <c r="Q2277" s="133"/>
      <c r="T2277" s="144"/>
      <c r="U2277" s="145" t="e">
        <f>VLOOKUP(H2277,Stock_list!A:N,14,FALSE)</f>
        <v>#N/A</v>
      </c>
    </row>
    <row r="2278" spans="1:21" ht="16.5" customHeight="1">
      <c r="A2278" s="159" t="s">
        <v>267</v>
      </c>
      <c r="B2278" s="114" t="str">
        <f>VLOOKUP(A2278,'Data pick slip'!B:F,5,FALSE)</f>
        <v>KHJ-MC600-00</v>
      </c>
      <c r="F2278" s="157" t="s">
        <v>290</v>
      </c>
      <c r="H2278" s="138">
        <v>798</v>
      </c>
      <c r="I2278" s="139" t="e">
        <f>VLOOKUP(H2278,Stock_list!A:R,18,FALSE)</f>
        <v>#N/A</v>
      </c>
      <c r="J2278" s="139" t="e">
        <f>VLOOKUP(H2278,Stock_list!A:S,17,FALSE)</f>
        <v>#N/A</v>
      </c>
      <c r="K2278" s="51" t="e">
        <f>VLOOKUP(H2278,Stock_list!A:T,16,FALSE)</f>
        <v>#N/A</v>
      </c>
      <c r="L2278" s="4">
        <v>44103</v>
      </c>
      <c r="M2278" s="140">
        <v>14</v>
      </c>
      <c r="P2278" s="4" t="e">
        <f>VLOOKUP(H2278,Stock_list!A:Y,25,FALSE)</f>
        <v>#N/A</v>
      </c>
      <c r="Q2278" s="133"/>
      <c r="T2278" s="144"/>
      <c r="U2278" s="145" t="e">
        <f>VLOOKUP(H2278,Stock_list!A:N,14,FALSE)</f>
        <v>#N/A</v>
      </c>
    </row>
    <row r="2279" spans="1:21" ht="16.5" customHeight="1">
      <c r="A2279" s="159" t="s">
        <v>267</v>
      </c>
      <c r="B2279" s="114" t="str">
        <f>VLOOKUP(A2279,'Data pick slip'!B:F,5,FALSE)</f>
        <v>KHJ-MC600-00</v>
      </c>
      <c r="F2279" s="157" t="s">
        <v>290</v>
      </c>
      <c r="H2279" s="138">
        <v>798</v>
      </c>
      <c r="I2279" s="139" t="e">
        <f>VLOOKUP(H2279,Stock_list!A:R,18,FALSE)</f>
        <v>#N/A</v>
      </c>
      <c r="J2279" s="139" t="e">
        <f>VLOOKUP(H2279,Stock_list!A:S,17,FALSE)</f>
        <v>#N/A</v>
      </c>
      <c r="K2279" s="51" t="e">
        <f>VLOOKUP(H2279,Stock_list!A:T,16,FALSE)</f>
        <v>#N/A</v>
      </c>
      <c r="L2279" s="4">
        <v>44134</v>
      </c>
      <c r="M2279" s="140">
        <v>2</v>
      </c>
      <c r="P2279" s="4" t="e">
        <f>VLOOKUP(H2279,Stock_list!A:Y,25,FALSE)</f>
        <v>#N/A</v>
      </c>
      <c r="Q2279" s="133"/>
      <c r="T2279" s="144"/>
      <c r="U2279" s="145" t="e">
        <f>VLOOKUP(H2279,Stock_list!A:N,14,FALSE)</f>
        <v>#N/A</v>
      </c>
    </row>
    <row r="2280" spans="1:21" ht="16.5" customHeight="1">
      <c r="A2280" s="159" t="s">
        <v>268</v>
      </c>
      <c r="B2280" s="114" t="str">
        <f>VLOOKUP(A2280,'Data pick slip'!B:F,5,FALSE)</f>
        <v>KHJ-MC700-00</v>
      </c>
      <c r="F2280" s="157" t="s">
        <v>290</v>
      </c>
      <c r="H2280" s="138">
        <v>798</v>
      </c>
      <c r="I2280" s="139" t="e">
        <f>VLOOKUP(H2280,Stock_list!A:R,18,FALSE)</f>
        <v>#N/A</v>
      </c>
      <c r="J2280" s="139" t="e">
        <f>VLOOKUP(H2280,Stock_list!A:S,17,FALSE)</f>
        <v>#N/A</v>
      </c>
      <c r="K2280" s="51" t="e">
        <f>VLOOKUP(H2280,Stock_list!A:T,16,FALSE)</f>
        <v>#N/A</v>
      </c>
      <c r="L2280" s="4">
        <v>44134</v>
      </c>
      <c r="M2280" s="140">
        <v>16</v>
      </c>
      <c r="P2280" s="4" t="e">
        <f>VLOOKUP(H2280,Stock_list!A:Y,25,FALSE)</f>
        <v>#N/A</v>
      </c>
      <c r="Q2280" s="133"/>
      <c r="T2280" s="144"/>
      <c r="U2280" s="145" t="e">
        <f>VLOOKUP(H2280,Stock_list!A:N,14,FALSE)</f>
        <v>#N/A</v>
      </c>
    </row>
    <row r="2281" spans="1:21" ht="16.5" customHeight="1">
      <c r="A2281" s="159" t="s">
        <v>269</v>
      </c>
      <c r="B2281" s="114" t="str">
        <f>VLOOKUP(A2281,'Data pick slip'!B:F,5,FALSE)</f>
        <v>KHJ-MC800-00</v>
      </c>
      <c r="F2281" s="157" t="s">
        <v>290</v>
      </c>
      <c r="H2281" s="138">
        <v>798</v>
      </c>
      <c r="I2281" s="139" t="e">
        <f>VLOOKUP(H2281,Stock_list!A:R,18,FALSE)</f>
        <v>#N/A</v>
      </c>
      <c r="J2281" s="139" t="e">
        <f>VLOOKUP(H2281,Stock_list!A:S,17,FALSE)</f>
        <v>#N/A</v>
      </c>
      <c r="K2281" s="51" t="e">
        <f>VLOOKUP(H2281,Stock_list!A:T,16,FALSE)</f>
        <v>#N/A</v>
      </c>
      <c r="L2281" s="4">
        <v>44103</v>
      </c>
      <c r="M2281" s="140">
        <v>1</v>
      </c>
      <c r="P2281" s="4" t="e">
        <f>VLOOKUP(H2281,Stock_list!A:Y,25,FALSE)</f>
        <v>#N/A</v>
      </c>
      <c r="Q2281" s="133"/>
      <c r="T2281" s="144"/>
      <c r="U2281" s="145" t="e">
        <f>VLOOKUP(H2281,Stock_list!A:N,14,FALSE)</f>
        <v>#N/A</v>
      </c>
    </row>
    <row r="2282" spans="1:21" ht="16.5" customHeight="1">
      <c r="A2282" s="159" t="s">
        <v>269</v>
      </c>
      <c r="B2282" s="114" t="str">
        <f>VLOOKUP(A2282,'Data pick slip'!B:F,5,FALSE)</f>
        <v>KHJ-MC800-00</v>
      </c>
      <c r="F2282" s="157" t="s">
        <v>290</v>
      </c>
      <c r="H2282" s="138">
        <v>798</v>
      </c>
      <c r="I2282" s="139" t="e">
        <f>VLOOKUP(H2282,Stock_list!A:R,18,FALSE)</f>
        <v>#N/A</v>
      </c>
      <c r="J2282" s="139" t="e">
        <f>VLOOKUP(H2282,Stock_list!A:S,17,FALSE)</f>
        <v>#N/A</v>
      </c>
      <c r="K2282" s="51" t="e">
        <f>VLOOKUP(H2282,Stock_list!A:T,16,FALSE)</f>
        <v>#N/A</v>
      </c>
      <c r="L2282" s="4">
        <v>44134</v>
      </c>
      <c r="M2282" s="140">
        <v>7</v>
      </c>
      <c r="P2282" s="4" t="e">
        <f>VLOOKUP(H2282,Stock_list!A:Y,25,FALSE)</f>
        <v>#N/A</v>
      </c>
      <c r="Q2282" s="133"/>
      <c r="T2282" s="144"/>
      <c r="U2282" s="145" t="e">
        <f>VLOOKUP(H2282,Stock_list!A:N,14,FALSE)</f>
        <v>#N/A</v>
      </c>
    </row>
    <row r="2283" spans="1:21" ht="16.5" customHeight="1">
      <c r="A2283" s="159" t="s">
        <v>439</v>
      </c>
      <c r="B2283" s="114" t="e">
        <f>VLOOKUP(A2283,'Data pick slip'!B:F,5,FALSE)</f>
        <v>#N/A</v>
      </c>
      <c r="F2283" s="157" t="s">
        <v>290</v>
      </c>
      <c r="H2283" s="138">
        <v>798</v>
      </c>
      <c r="I2283" s="139" t="e">
        <f>VLOOKUP(H2283,Stock_list!A:R,18,FALSE)</f>
        <v>#N/A</v>
      </c>
      <c r="J2283" s="139" t="e">
        <f>VLOOKUP(H2283,Stock_list!A:S,17,FALSE)</f>
        <v>#N/A</v>
      </c>
      <c r="K2283" s="51" t="e">
        <f>VLOOKUP(H2283,Stock_list!A:T,16,FALSE)</f>
        <v>#N/A</v>
      </c>
      <c r="L2283" s="4">
        <v>44160</v>
      </c>
      <c r="M2283" s="140">
        <v>8</v>
      </c>
      <c r="P2283" s="4" t="e">
        <f>VLOOKUP(H2283,Stock_list!A:Y,25,FALSE)</f>
        <v>#N/A</v>
      </c>
      <c r="Q2283" s="133"/>
      <c r="T2283" s="144"/>
      <c r="U2283" s="145" t="e">
        <f>VLOOKUP(H2283,Stock_list!A:N,14,FALSE)</f>
        <v>#N/A</v>
      </c>
    </row>
    <row r="2284" spans="1:21" ht="16.5" customHeight="1">
      <c r="A2284" s="159" t="s">
        <v>261</v>
      </c>
      <c r="B2284" s="114" t="str">
        <f>VLOOKUP(A2284,'Data pick slip'!B:F,5,FALSE)</f>
        <v>KHJ-MC100-00</v>
      </c>
      <c r="F2284" s="157" t="s">
        <v>379</v>
      </c>
      <c r="H2284" s="138">
        <v>802</v>
      </c>
      <c r="I2284" s="139" t="e">
        <f>VLOOKUP(H2284,Stock_list!A:R,18,FALSE)</f>
        <v>#N/A</v>
      </c>
      <c r="J2284" s="139" t="e">
        <f>VLOOKUP(H2284,Stock_list!A:S,17,FALSE)</f>
        <v>#N/A</v>
      </c>
      <c r="K2284" s="51" t="e">
        <f>VLOOKUP(H2284,Stock_list!A:T,16,FALSE)</f>
        <v>#N/A</v>
      </c>
      <c r="L2284" s="4">
        <v>44127</v>
      </c>
      <c r="M2284" s="132">
        <v>50</v>
      </c>
      <c r="P2284" s="4" t="e">
        <f>VLOOKUP(H2284,Stock_list!A:Y,25,FALSE)</f>
        <v>#N/A</v>
      </c>
      <c r="Q2284" s="133"/>
      <c r="T2284" s="144"/>
      <c r="U2284" s="145" t="e">
        <f>VLOOKUP(H2284,Stock_list!A:N,14,FALSE)</f>
        <v>#N/A</v>
      </c>
    </row>
    <row r="2285" spans="1:21" ht="16.5" customHeight="1">
      <c r="A2285" s="159" t="s">
        <v>264</v>
      </c>
      <c r="B2285" s="114" t="str">
        <f>VLOOKUP(A2285,'Data pick slip'!B:F,5,FALSE)</f>
        <v>KHJ-MC200-00</v>
      </c>
      <c r="F2285" s="157" t="s">
        <v>379</v>
      </c>
      <c r="H2285" s="138">
        <v>802</v>
      </c>
      <c r="I2285" s="139" t="e">
        <f>VLOOKUP(H2285,Stock_list!A:R,18,FALSE)</f>
        <v>#N/A</v>
      </c>
      <c r="J2285" s="139" t="e">
        <f>VLOOKUP(H2285,Stock_list!A:S,17,FALSE)</f>
        <v>#N/A</v>
      </c>
      <c r="K2285" s="51" t="e">
        <f>VLOOKUP(H2285,Stock_list!A:T,16,FALSE)</f>
        <v>#N/A</v>
      </c>
      <c r="L2285" s="4">
        <v>44127</v>
      </c>
      <c r="M2285" s="132">
        <v>35</v>
      </c>
      <c r="P2285" s="4" t="e">
        <f>VLOOKUP(H2285,Stock_list!A:Y,25,FALSE)</f>
        <v>#N/A</v>
      </c>
      <c r="Q2285" s="133"/>
      <c r="T2285" s="144"/>
      <c r="U2285" s="145" t="e">
        <f>VLOOKUP(H2285,Stock_list!A:N,14,FALSE)</f>
        <v>#N/A</v>
      </c>
    </row>
    <row r="2286" spans="1:21" ht="16.5" customHeight="1">
      <c r="A2286" s="159" t="s">
        <v>265</v>
      </c>
      <c r="B2286" s="114" t="str">
        <f>VLOOKUP(A2286,'Data pick slip'!B:F,5,FALSE)</f>
        <v>KHJ-MC400-00</v>
      </c>
      <c r="F2286" s="157" t="s">
        <v>379</v>
      </c>
      <c r="H2286" s="138">
        <v>802</v>
      </c>
      <c r="I2286" s="139" t="e">
        <f>VLOOKUP(H2286,Stock_list!A:R,18,FALSE)</f>
        <v>#N/A</v>
      </c>
      <c r="J2286" s="139" t="e">
        <f>VLOOKUP(H2286,Stock_list!A:S,17,FALSE)</f>
        <v>#N/A</v>
      </c>
      <c r="K2286" s="51" t="e">
        <f>VLOOKUP(H2286,Stock_list!A:T,16,FALSE)</f>
        <v>#N/A</v>
      </c>
      <c r="L2286" s="4">
        <v>44127</v>
      </c>
      <c r="M2286" s="132">
        <v>6</v>
      </c>
      <c r="P2286" s="4" t="e">
        <f>VLOOKUP(H2286,Stock_list!A:Y,25,FALSE)</f>
        <v>#N/A</v>
      </c>
      <c r="Q2286" s="133"/>
      <c r="T2286" s="144"/>
      <c r="U2286" s="145" t="e">
        <f>VLOOKUP(H2286,Stock_list!A:N,14,FALSE)</f>
        <v>#N/A</v>
      </c>
    </row>
    <row r="2287" spans="1:21" ht="16.5" customHeight="1">
      <c r="A2287" s="159" t="s">
        <v>265</v>
      </c>
      <c r="B2287" s="114" t="str">
        <f>VLOOKUP(A2287,'Data pick slip'!B:F,5,FALSE)</f>
        <v>KHJ-MC400-00</v>
      </c>
      <c r="F2287" s="157" t="s">
        <v>290</v>
      </c>
      <c r="I2287" s="139" t="s">
        <v>611</v>
      </c>
      <c r="J2287" s="139" t="s">
        <v>858</v>
      </c>
      <c r="K2287" s="51" t="s">
        <v>225</v>
      </c>
      <c r="L2287" s="4">
        <v>44076</v>
      </c>
      <c r="M2287" s="140">
        <v>4</v>
      </c>
      <c r="P2287" s="4" t="s">
        <v>214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264</v>
      </c>
      <c r="B2288" s="114" t="str">
        <f>VLOOKUP(A2288,'Data pick slip'!B:F,5,FALSE)</f>
        <v>KHJ-MC200-00</v>
      </c>
      <c r="F2288" s="157" t="s">
        <v>290</v>
      </c>
      <c r="H2288" s="138">
        <v>587</v>
      </c>
      <c r="I2288" s="139" t="e">
        <f>VLOOKUP(H2288,Stock_list!A:R,18,FALSE)</f>
        <v>#N/A</v>
      </c>
      <c r="J2288" s="139" t="e">
        <f>VLOOKUP(H2288,Stock_list!A:S,17,FALSE)</f>
        <v>#N/A</v>
      </c>
      <c r="K2288" s="51" t="e">
        <f>VLOOKUP(H2288,Stock_list!A:T,16,FALSE)</f>
        <v>#N/A</v>
      </c>
      <c r="L2288" s="4">
        <v>44058</v>
      </c>
      <c r="M2288" s="140">
        <v>1</v>
      </c>
      <c r="P2288" s="4" t="e">
        <f>VLOOKUP(H2288,Stock_list!A:Y,25,FALSE)</f>
        <v>#N/A</v>
      </c>
      <c r="Q2288" s="143"/>
      <c r="S2288" s="123" t="s">
        <v>521</v>
      </c>
      <c r="T2288" s="144" t="s">
        <v>859</v>
      </c>
      <c r="U2288" s="145" t="e">
        <f>VLOOKUP(H2288,Stock_list!A:N,14,FALSE)</f>
        <v>#N/A</v>
      </c>
    </row>
    <row r="2289" spans="1:21" ht="16.5" customHeight="1">
      <c r="A2289" s="159" t="s">
        <v>261</v>
      </c>
      <c r="B2289" s="114" t="str">
        <f>VLOOKUP(A2289,'Data pick slip'!B:F,5,FALSE)</f>
        <v>KHJ-MC100-00</v>
      </c>
      <c r="F2289" s="157" t="s">
        <v>379</v>
      </c>
      <c r="H2289" s="138">
        <v>803</v>
      </c>
      <c r="I2289" s="139" t="e">
        <f>VLOOKUP(H2289,Stock_list!A:R,18,FALSE)</f>
        <v>#N/A</v>
      </c>
      <c r="J2289" s="139" t="e">
        <f>VLOOKUP(H2289,Stock_list!A:S,17,FALSE)</f>
        <v>#N/A</v>
      </c>
      <c r="K2289" s="51" t="e">
        <f>VLOOKUP(H2289,Stock_list!A:T,16,FALSE)</f>
        <v>#N/A</v>
      </c>
      <c r="L2289" s="4">
        <v>44146</v>
      </c>
      <c r="M2289" s="132">
        <v>34</v>
      </c>
      <c r="P2289" s="4" t="e">
        <f>VLOOKUP(H2289,Stock_list!A:Y,25,FALSE)</f>
        <v>#N/A</v>
      </c>
      <c r="Q2289" s="143"/>
      <c r="T2289" s="144"/>
      <c r="U2289" s="145" t="e">
        <f>VLOOKUP(H2289,Stock_list!A:N,14,FALSE)</f>
        <v>#N/A</v>
      </c>
    </row>
    <row r="2290" spans="1:21" ht="16.5" customHeight="1">
      <c r="A2290" s="159" t="s">
        <v>264</v>
      </c>
      <c r="B2290" s="114" t="str">
        <f>VLOOKUP(A2290,'Data pick slip'!B:F,5,FALSE)</f>
        <v>KHJ-MC200-00</v>
      </c>
      <c r="F2290" s="157" t="s">
        <v>379</v>
      </c>
      <c r="H2290" s="138">
        <v>803</v>
      </c>
      <c r="I2290" s="139" t="e">
        <f>VLOOKUP(H2290,Stock_list!A:R,18,FALSE)</f>
        <v>#N/A</v>
      </c>
      <c r="J2290" s="139" t="e">
        <f>VLOOKUP(H2290,Stock_list!A:S,17,FALSE)</f>
        <v>#N/A</v>
      </c>
      <c r="K2290" s="51" t="e">
        <f>VLOOKUP(H2290,Stock_list!A:T,16,FALSE)</f>
        <v>#N/A</v>
      </c>
      <c r="L2290" s="4">
        <v>44146</v>
      </c>
      <c r="M2290" s="132">
        <v>8</v>
      </c>
      <c r="P2290" s="4" t="e">
        <f>VLOOKUP(H2290,Stock_list!A:Y,25,FALSE)</f>
        <v>#N/A</v>
      </c>
      <c r="Q2290" s="143"/>
      <c r="T2290" s="144"/>
      <c r="U2290" s="145" t="e">
        <f>VLOOKUP(H2290,Stock_list!A:N,14,FALSE)</f>
        <v>#N/A</v>
      </c>
    </row>
    <row r="2291" spans="1:21" ht="16.5" customHeight="1">
      <c r="A2291" s="159" t="s">
        <v>261</v>
      </c>
      <c r="B2291" s="114" t="str">
        <f>VLOOKUP(A2291,'Data pick slip'!B:F,5,FALSE)</f>
        <v>KHJ-MC100-00</v>
      </c>
      <c r="F2291" s="157" t="s">
        <v>290</v>
      </c>
      <c r="H2291" s="138">
        <v>805</v>
      </c>
      <c r="I2291" s="139" t="e">
        <f>VLOOKUP(H2291,Stock_list!A:R,18,FALSE)</f>
        <v>#N/A</v>
      </c>
      <c r="J2291" s="139" t="e">
        <f>VLOOKUP(H2291,Stock_list!A:S,17,FALSE)</f>
        <v>#N/A</v>
      </c>
      <c r="K2291" s="51" t="e">
        <f>VLOOKUP(H2291,Stock_list!A:T,16,FALSE)</f>
        <v>#N/A</v>
      </c>
      <c r="L2291" s="4">
        <v>44078</v>
      </c>
      <c r="M2291" s="140">
        <v>50</v>
      </c>
      <c r="P2291" s="4" t="e">
        <f>VLOOKUP(H2291,Stock_list!A:Y,25,FALSE)</f>
        <v>#N/A</v>
      </c>
      <c r="Q2291" s="143"/>
      <c r="T2291" s="144"/>
      <c r="U2291" s="145" t="e">
        <f>VLOOKUP(H2291,Stock_list!A:N,14,FALSE)</f>
        <v>#N/A</v>
      </c>
    </row>
    <row r="2292" spans="1:21" ht="16.5" customHeight="1">
      <c r="A2292" s="159" t="s">
        <v>261</v>
      </c>
      <c r="B2292" s="114" t="str">
        <f>VLOOKUP(A2292,'Data pick slip'!B:F,5,FALSE)</f>
        <v>KHJ-MC100-00</v>
      </c>
      <c r="F2292" s="157" t="s">
        <v>290</v>
      </c>
      <c r="H2292" s="138">
        <v>805</v>
      </c>
      <c r="I2292" s="139" t="e">
        <f>VLOOKUP(H2292,Stock_list!A:R,18,FALSE)</f>
        <v>#N/A</v>
      </c>
      <c r="J2292" s="139" t="e">
        <f>VLOOKUP(H2292,Stock_list!A:S,17,FALSE)</f>
        <v>#N/A</v>
      </c>
      <c r="K2292" s="51" t="e">
        <f>VLOOKUP(H2292,Stock_list!A:T,16,FALSE)</f>
        <v>#N/A</v>
      </c>
      <c r="L2292" s="4">
        <v>44134</v>
      </c>
      <c r="M2292" s="132">
        <v>30</v>
      </c>
      <c r="P2292" s="4" t="e">
        <f>VLOOKUP(H2292,Stock_list!A:Y,25,FALSE)</f>
        <v>#N/A</v>
      </c>
      <c r="Q2292" s="143"/>
      <c r="T2292" s="144"/>
      <c r="U2292" s="145" t="e">
        <f>VLOOKUP(H2292,Stock_list!A:N,14,FALSE)</f>
        <v>#N/A</v>
      </c>
    </row>
    <row r="2293" spans="1:21" ht="16.5" customHeight="1">
      <c r="A2293" s="159" t="s">
        <v>264</v>
      </c>
      <c r="B2293" s="114" t="str">
        <f>VLOOKUP(A2293,'Data pick slip'!B:F,5,FALSE)</f>
        <v>KHJ-MC200-00</v>
      </c>
      <c r="F2293" s="157" t="s">
        <v>290</v>
      </c>
      <c r="H2293" s="138">
        <v>805</v>
      </c>
      <c r="I2293" s="139" t="e">
        <f>VLOOKUP(H2293,Stock_list!A:R,18,FALSE)</f>
        <v>#N/A</v>
      </c>
      <c r="J2293" s="139" t="e">
        <f>VLOOKUP(H2293,Stock_list!A:S,17,FALSE)</f>
        <v>#N/A</v>
      </c>
      <c r="K2293" s="51" t="e">
        <f>VLOOKUP(H2293,Stock_list!A:T,16,FALSE)</f>
        <v>#N/A</v>
      </c>
      <c r="L2293" s="4">
        <v>44134</v>
      </c>
      <c r="M2293" s="132">
        <v>10</v>
      </c>
      <c r="P2293" s="4" t="e">
        <f>VLOOKUP(H2293,Stock_list!A:Y,25,FALSE)</f>
        <v>#N/A</v>
      </c>
      <c r="Q2293" s="143"/>
      <c r="T2293" s="144"/>
      <c r="U2293" s="145" t="e">
        <f>VLOOKUP(H2293,Stock_list!A:N,14,FALSE)</f>
        <v>#N/A</v>
      </c>
    </row>
    <row r="2294" spans="1:21" ht="16.5" customHeight="1">
      <c r="A2294" s="159" t="s">
        <v>265</v>
      </c>
      <c r="B2294" s="114" t="str">
        <f>VLOOKUP(A2294,'Data pick slip'!B:F,5,FALSE)</f>
        <v>KHJ-MC400-00</v>
      </c>
      <c r="F2294" s="157" t="s">
        <v>290</v>
      </c>
      <c r="H2294" s="138">
        <v>805</v>
      </c>
      <c r="I2294" s="139" t="e">
        <f>VLOOKUP(H2294,Stock_list!A:R,18,FALSE)</f>
        <v>#N/A</v>
      </c>
      <c r="J2294" s="139" t="e">
        <f>VLOOKUP(H2294,Stock_list!A:S,17,FALSE)</f>
        <v>#N/A</v>
      </c>
      <c r="K2294" s="51" t="e">
        <f>VLOOKUP(H2294,Stock_list!A:T,16,FALSE)</f>
        <v>#N/A</v>
      </c>
      <c r="L2294" s="4">
        <v>44078</v>
      </c>
      <c r="M2294" s="140">
        <v>4</v>
      </c>
      <c r="P2294" s="4" t="e">
        <f>VLOOKUP(H2294,Stock_list!A:Y,25,FALSE)</f>
        <v>#N/A</v>
      </c>
      <c r="Q2294" s="143"/>
      <c r="T2294" s="144"/>
      <c r="U2294" s="145" t="e">
        <f>VLOOKUP(H2294,Stock_list!A:N,14,FALSE)</f>
        <v>#N/A</v>
      </c>
    </row>
    <row r="2295" spans="1:21" ht="16.5" customHeight="1">
      <c r="A2295" s="159" t="s">
        <v>266</v>
      </c>
      <c r="B2295" s="114" t="str">
        <f>VLOOKUP(A2295,'Data pick slip'!B:F,5,FALSE)</f>
        <v>KHJ-MC500-00</v>
      </c>
      <c r="F2295" s="157" t="s">
        <v>290</v>
      </c>
      <c r="H2295" s="138">
        <v>805</v>
      </c>
      <c r="I2295" s="139" t="e">
        <f>VLOOKUP(H2295,Stock_list!A:R,18,FALSE)</f>
        <v>#N/A</v>
      </c>
      <c r="J2295" s="139" t="e">
        <f>VLOOKUP(H2295,Stock_list!A:S,17,FALSE)</f>
        <v>#N/A</v>
      </c>
      <c r="K2295" s="51" t="e">
        <f>VLOOKUP(H2295,Stock_list!A:T,16,FALSE)</f>
        <v>#N/A</v>
      </c>
      <c r="L2295" s="4">
        <v>44134</v>
      </c>
      <c r="M2295" s="132">
        <v>1</v>
      </c>
      <c r="P2295" s="4" t="e">
        <f>VLOOKUP(H2295,Stock_list!A:Y,25,FALSE)</f>
        <v>#N/A</v>
      </c>
      <c r="Q2295" s="143"/>
      <c r="T2295" s="144"/>
      <c r="U2295" s="145" t="e">
        <f>VLOOKUP(H2295,Stock_list!A:N,14,FALSE)</f>
        <v>#N/A</v>
      </c>
    </row>
    <row r="2296" spans="1:21" ht="16.5" customHeight="1">
      <c r="A2296" s="159" t="s">
        <v>267</v>
      </c>
      <c r="B2296" s="114" t="str">
        <f>VLOOKUP(A2296,'Data pick slip'!B:F,5,FALSE)</f>
        <v>KHJ-MC600-00</v>
      </c>
      <c r="F2296" s="157" t="s">
        <v>290</v>
      </c>
      <c r="H2296" s="138">
        <v>805</v>
      </c>
      <c r="I2296" s="139" t="e">
        <f>VLOOKUP(H2296,Stock_list!A:R,18,FALSE)</f>
        <v>#N/A</v>
      </c>
      <c r="J2296" s="139" t="e">
        <f>VLOOKUP(H2296,Stock_list!A:S,17,FALSE)</f>
        <v>#N/A</v>
      </c>
      <c r="K2296" s="51" t="e">
        <f>VLOOKUP(H2296,Stock_list!A:T,16,FALSE)</f>
        <v>#N/A</v>
      </c>
      <c r="L2296" s="4">
        <v>44134</v>
      </c>
      <c r="M2296" s="132">
        <v>1</v>
      </c>
      <c r="P2296" s="4" t="e">
        <f>VLOOKUP(H2296,Stock_list!A:Y,25,FALSE)</f>
        <v>#N/A</v>
      </c>
      <c r="Q2296" s="143"/>
      <c r="T2296" s="144"/>
      <c r="U2296" s="145" t="e">
        <f>VLOOKUP(H2296,Stock_list!A:N,14,FALSE)</f>
        <v>#N/A</v>
      </c>
    </row>
    <row r="2297" spans="1:21" ht="16.5" customHeight="1">
      <c r="A2297" s="159" t="s">
        <v>261</v>
      </c>
      <c r="B2297" s="114" t="str">
        <f>VLOOKUP(A2297,'Data pick slip'!B:F,5,FALSE)</f>
        <v>KHJ-MC100-00</v>
      </c>
      <c r="F2297" s="157" t="s">
        <v>379</v>
      </c>
      <c r="I2297" s="139" t="s">
        <v>533</v>
      </c>
      <c r="J2297" s="139" t="s">
        <v>860</v>
      </c>
      <c r="K2297" s="51" t="s">
        <v>225</v>
      </c>
      <c r="L2297" s="4">
        <v>44075</v>
      </c>
      <c r="M2297" s="140">
        <v>150</v>
      </c>
      <c r="P2297" s="4" t="s">
        <v>214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264</v>
      </c>
      <c r="B2298" s="114" t="str">
        <f>VLOOKUP(A2298,'Data pick slip'!B:F,5,FALSE)</f>
        <v>KHJ-MC200-00</v>
      </c>
      <c r="F2298" s="157" t="s">
        <v>379</v>
      </c>
      <c r="I2298" s="139" t="s">
        <v>533</v>
      </c>
      <c r="J2298" s="139" t="s">
        <v>860</v>
      </c>
      <c r="K2298" s="51" t="s">
        <v>225</v>
      </c>
      <c r="L2298" s="4">
        <v>44075</v>
      </c>
      <c r="M2298" s="140">
        <v>30</v>
      </c>
      <c r="P2298" s="4" t="s">
        <v>214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265</v>
      </c>
      <c r="B2299" s="114" t="str">
        <f>VLOOKUP(A2299,'Data pick slip'!B:F,5,FALSE)</f>
        <v>KHJ-MC400-00</v>
      </c>
      <c r="F2299" s="157" t="s">
        <v>379</v>
      </c>
      <c r="I2299" s="139" t="s">
        <v>533</v>
      </c>
      <c r="J2299" s="139" t="s">
        <v>860</v>
      </c>
      <c r="K2299" s="51" t="s">
        <v>225</v>
      </c>
      <c r="L2299" s="4">
        <v>44075</v>
      </c>
      <c r="M2299" s="140">
        <v>10</v>
      </c>
      <c r="P2299" s="4" t="s">
        <v>214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266</v>
      </c>
      <c r="B2300" s="114" t="str">
        <f>VLOOKUP(A2300,'Data pick slip'!B:F,5,FALSE)</f>
        <v>KHJ-MC500-00</v>
      </c>
      <c r="F2300" s="157" t="s">
        <v>379</v>
      </c>
      <c r="I2300" s="139" t="s">
        <v>533</v>
      </c>
      <c r="J2300" s="139" t="s">
        <v>860</v>
      </c>
      <c r="K2300" s="51" t="s">
        <v>225</v>
      </c>
      <c r="L2300" s="4">
        <v>44075</v>
      </c>
      <c r="M2300" s="140">
        <v>12</v>
      </c>
      <c r="P2300" s="4" t="s">
        <v>214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267</v>
      </c>
      <c r="B2301" s="114" t="str">
        <f>VLOOKUP(A2301,'Data pick slip'!B:F,5,FALSE)</f>
        <v>KHJ-MC600-00</v>
      </c>
      <c r="F2301" s="157" t="s">
        <v>379</v>
      </c>
      <c r="I2301" s="139" t="s">
        <v>533</v>
      </c>
      <c r="J2301" s="139" t="s">
        <v>860</v>
      </c>
      <c r="K2301" s="51" t="s">
        <v>225</v>
      </c>
      <c r="L2301" s="4">
        <v>44075</v>
      </c>
      <c r="M2301" s="140">
        <v>2</v>
      </c>
      <c r="P2301" s="4" t="s">
        <v>214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261</v>
      </c>
      <c r="B2302" s="114" t="str">
        <f>VLOOKUP(A2302,'Data pick slip'!B:F,5,FALSE)</f>
        <v>KHJ-MC100-00</v>
      </c>
      <c r="F2302" s="157" t="s">
        <v>290</v>
      </c>
      <c r="I2302" s="139" t="s">
        <v>611</v>
      </c>
      <c r="J2302" s="139" t="s">
        <v>853</v>
      </c>
      <c r="K2302" s="51" t="s">
        <v>225</v>
      </c>
      <c r="L2302" s="4">
        <v>44082</v>
      </c>
      <c r="M2302" s="140">
        <v>50</v>
      </c>
      <c r="P2302" s="4" t="s">
        <v>214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261</v>
      </c>
      <c r="B2303" s="114" t="str">
        <f>VLOOKUP(A2303,'Data pick slip'!B:F,5,FALSE)</f>
        <v>KHJ-MC100-00</v>
      </c>
      <c r="F2303" s="157" t="s">
        <v>379</v>
      </c>
      <c r="H2303" s="138">
        <v>811</v>
      </c>
      <c r="I2303" s="139" t="e">
        <f>VLOOKUP(H2303,Stock_list!A:R,18,FALSE)</f>
        <v>#N/A</v>
      </c>
      <c r="J2303" s="139" t="e">
        <f>VLOOKUP(H2303,Stock_list!A:S,17,FALSE)</f>
        <v>#N/A</v>
      </c>
      <c r="K2303" s="51" t="e">
        <f>VLOOKUP(H2303,Stock_list!A:T,16,FALSE)</f>
        <v>#N/A</v>
      </c>
      <c r="L2303" s="4">
        <v>44159</v>
      </c>
      <c r="M2303" s="132">
        <v>85</v>
      </c>
      <c r="P2303" s="4" t="e">
        <f>VLOOKUP(H2303,Stock_list!A:Y,25,FALSE)</f>
        <v>#N/A</v>
      </c>
      <c r="Q2303" s="143"/>
      <c r="T2303" s="144"/>
      <c r="U2303" s="145" t="e">
        <f>VLOOKUP(H2303,Stock_list!A:N,14,FALSE)</f>
        <v>#N/A</v>
      </c>
    </row>
    <row r="2304" spans="1:21" ht="16.5" customHeight="1">
      <c r="A2304" s="159" t="s">
        <v>264</v>
      </c>
      <c r="B2304" s="114" t="str">
        <f>VLOOKUP(A2304,'Data pick slip'!B:F,5,FALSE)</f>
        <v>KHJ-MC200-00</v>
      </c>
      <c r="F2304" s="157" t="s">
        <v>379</v>
      </c>
      <c r="H2304" s="138">
        <v>811</v>
      </c>
      <c r="I2304" s="139" t="e">
        <f>VLOOKUP(H2304,Stock_list!A:R,18,FALSE)</f>
        <v>#N/A</v>
      </c>
      <c r="J2304" s="139" t="e">
        <f>VLOOKUP(H2304,Stock_list!A:S,17,FALSE)</f>
        <v>#N/A</v>
      </c>
      <c r="K2304" s="51" t="e">
        <f>VLOOKUP(H2304,Stock_list!A:T,16,FALSE)</f>
        <v>#N/A</v>
      </c>
      <c r="L2304" s="4">
        <v>44159</v>
      </c>
      <c r="M2304" s="132">
        <v>23</v>
      </c>
      <c r="P2304" s="4" t="e">
        <f>VLOOKUP(H2304,Stock_list!A:Y,25,FALSE)</f>
        <v>#N/A</v>
      </c>
      <c r="Q2304" s="143"/>
      <c r="T2304" s="144"/>
      <c r="U2304" s="145" t="e">
        <f>VLOOKUP(H2304,Stock_list!A:N,14,FALSE)</f>
        <v>#N/A</v>
      </c>
    </row>
    <row r="2305" spans="1:21" ht="16.5" customHeight="1">
      <c r="A2305" s="159" t="s">
        <v>265</v>
      </c>
      <c r="B2305" s="114" t="str">
        <f>VLOOKUP(A2305,'Data pick slip'!B:F,5,FALSE)</f>
        <v>KHJ-MC400-00</v>
      </c>
      <c r="F2305" s="157" t="s">
        <v>379</v>
      </c>
      <c r="H2305" s="138">
        <v>811</v>
      </c>
      <c r="I2305" s="139" t="e">
        <f>VLOOKUP(H2305,Stock_list!A:R,18,FALSE)</f>
        <v>#N/A</v>
      </c>
      <c r="J2305" s="139" t="e">
        <f>VLOOKUP(H2305,Stock_list!A:S,17,FALSE)</f>
        <v>#N/A</v>
      </c>
      <c r="K2305" s="51" t="e">
        <f>VLOOKUP(H2305,Stock_list!A:T,16,FALSE)</f>
        <v>#N/A</v>
      </c>
      <c r="L2305" s="4">
        <v>44159</v>
      </c>
      <c r="M2305" s="132">
        <v>3</v>
      </c>
      <c r="P2305" s="4" t="e">
        <f>VLOOKUP(H2305,Stock_list!A:Y,25,FALSE)</f>
        <v>#N/A</v>
      </c>
      <c r="Q2305" s="143"/>
      <c r="T2305" s="144"/>
      <c r="U2305" s="145" t="e">
        <f>VLOOKUP(H2305,Stock_list!A:N,14,FALSE)</f>
        <v>#N/A</v>
      </c>
    </row>
    <row r="2306" spans="1:21" ht="16.5" customHeight="1">
      <c r="A2306" s="159" t="s">
        <v>265</v>
      </c>
      <c r="B2306" s="114" t="str">
        <f>VLOOKUP(A2306,'Data pick slip'!B:F,5,FALSE)</f>
        <v>KHJ-MC400-00</v>
      </c>
      <c r="F2306" s="157" t="s">
        <v>290</v>
      </c>
      <c r="H2306" s="138">
        <v>789</v>
      </c>
      <c r="I2306" s="139" t="e">
        <f>VLOOKUP(H2306,Stock_list!A:R,18,FALSE)</f>
        <v>#N/A</v>
      </c>
      <c r="J2306" s="139" t="e">
        <f>VLOOKUP(H2306,Stock_list!A:S,17,FALSE)</f>
        <v>#N/A</v>
      </c>
      <c r="K2306" s="51" t="e">
        <f>VLOOKUP(H2306,Stock_list!A:T,16,FALSE)</f>
        <v>#N/A</v>
      </c>
      <c r="L2306" s="4">
        <v>44145</v>
      </c>
      <c r="M2306" s="132">
        <v>1</v>
      </c>
      <c r="P2306" s="4" t="e">
        <f>VLOOKUP(H2306,Stock_list!A:Y,25,FALSE)</f>
        <v>#N/A</v>
      </c>
      <c r="Q2306" s="143"/>
      <c r="T2306" s="144"/>
      <c r="U2306" s="145" t="e">
        <f>VLOOKUP(H2306,Stock_list!A:N,14,FALSE)</f>
        <v>#N/A</v>
      </c>
    </row>
    <row r="2307" spans="1:21" ht="16.5" customHeight="1">
      <c r="A2307" s="159" t="s">
        <v>261</v>
      </c>
      <c r="B2307" s="114" t="str">
        <f>VLOOKUP(A2307,'Data pick slip'!B:F,5,FALSE)</f>
        <v>KHJ-MC100-00</v>
      </c>
      <c r="F2307" s="157" t="s">
        <v>290</v>
      </c>
      <c r="H2307" s="138">
        <v>827</v>
      </c>
      <c r="I2307" s="139" t="e">
        <f>VLOOKUP(H2307,Stock_list!A:R,18,FALSE)</f>
        <v>#N/A</v>
      </c>
      <c r="J2307" s="139" t="e">
        <f>VLOOKUP(H2307,Stock_list!A:S,17,FALSE)</f>
        <v>#N/A</v>
      </c>
      <c r="K2307" s="51" t="e">
        <f>VLOOKUP(H2307,Stock_list!A:T,16,FALSE)</f>
        <v>#N/A</v>
      </c>
      <c r="L2307" s="4">
        <v>44102</v>
      </c>
      <c r="M2307" s="132"/>
      <c r="O2307" s="132">
        <f>40-40</f>
        <v>0</v>
      </c>
      <c r="P2307" s="4" t="e">
        <f>VLOOKUP(H2307,Stock_list!A:Y,25,FALSE)</f>
        <v>#N/A</v>
      </c>
      <c r="Q2307" s="133"/>
      <c r="T2307" s="144"/>
      <c r="U2307" s="145" t="e">
        <f>VLOOKUP(H2307,Stock_list!A:N,14,FALSE)</f>
        <v>#N/A</v>
      </c>
    </row>
    <row r="2308" spans="1:21" ht="16.5" customHeight="1">
      <c r="A2308" s="159" t="s">
        <v>261</v>
      </c>
      <c r="B2308" s="114" t="str">
        <f>VLOOKUP(A2308,'Data pick slip'!B:F,5,FALSE)</f>
        <v>KHJ-MC100-00</v>
      </c>
      <c r="F2308" s="157" t="s">
        <v>379</v>
      </c>
      <c r="H2308" s="138">
        <v>827</v>
      </c>
      <c r="I2308" s="139" t="e">
        <f>VLOOKUP(H2308,Stock_list!A:R,18,FALSE)</f>
        <v>#N/A</v>
      </c>
      <c r="J2308" s="139" t="e">
        <f>VLOOKUP(H2308,Stock_list!A:S,17,FALSE)</f>
        <v>#N/A</v>
      </c>
      <c r="K2308" s="51" t="e">
        <f>VLOOKUP(H2308,Stock_list!A:T,16,FALSE)</f>
        <v>#N/A</v>
      </c>
      <c r="L2308" s="4">
        <v>44161</v>
      </c>
      <c r="M2308" s="132">
        <v>40</v>
      </c>
      <c r="P2308" s="4" t="e">
        <f>VLOOKUP(H2308,Stock_list!A:Y,25,FALSE)</f>
        <v>#N/A</v>
      </c>
      <c r="Q2308" s="133"/>
      <c r="T2308" s="144"/>
      <c r="U2308" s="145" t="e">
        <f>VLOOKUP(H2308,Stock_list!A:N,14,FALSE)</f>
        <v>#N/A</v>
      </c>
    </row>
    <row r="2309" spans="1:21" ht="16.5" customHeight="1">
      <c r="A2309" s="159" t="s">
        <v>264</v>
      </c>
      <c r="B2309" s="114" t="str">
        <f>VLOOKUP(A2309,'Data pick slip'!B:F,5,FALSE)</f>
        <v>KHJ-MC200-00</v>
      </c>
      <c r="F2309" s="157" t="s">
        <v>379</v>
      </c>
      <c r="H2309" s="138">
        <v>827</v>
      </c>
      <c r="I2309" s="139" t="e">
        <f>VLOOKUP(H2309,Stock_list!A:R,18,FALSE)</f>
        <v>#N/A</v>
      </c>
      <c r="J2309" s="139" t="e">
        <f>VLOOKUP(H2309,Stock_list!A:S,17,FALSE)</f>
        <v>#N/A</v>
      </c>
      <c r="K2309" s="51" t="e">
        <f>VLOOKUP(H2309,Stock_list!A:T,16,FALSE)</f>
        <v>#N/A</v>
      </c>
      <c r="L2309" s="4">
        <v>44161</v>
      </c>
      <c r="M2309" s="132">
        <v>10</v>
      </c>
      <c r="P2309" s="4" t="e">
        <f>VLOOKUP(H2309,Stock_list!A:Y,25,FALSE)</f>
        <v>#N/A</v>
      </c>
      <c r="Q2309" s="143"/>
      <c r="T2309" s="144"/>
      <c r="U2309" s="145" t="e">
        <f>VLOOKUP(H2309,Stock_list!A:N,14,FALSE)</f>
        <v>#N/A</v>
      </c>
    </row>
    <row r="2310" spans="1:21" ht="16.5" customHeight="1">
      <c r="A2310" s="159" t="s">
        <v>265</v>
      </c>
      <c r="B2310" s="114" t="str">
        <f>VLOOKUP(A2310,'Data pick slip'!B:F,5,FALSE)</f>
        <v>KHJ-MC400-00</v>
      </c>
      <c r="F2310" s="157" t="s">
        <v>379</v>
      </c>
      <c r="H2310" s="138">
        <v>827</v>
      </c>
      <c r="I2310" s="139" t="e">
        <f>VLOOKUP(H2310,Stock_list!A:R,18,FALSE)</f>
        <v>#N/A</v>
      </c>
      <c r="J2310" s="139" t="e">
        <f>VLOOKUP(H2310,Stock_list!A:S,17,FALSE)</f>
        <v>#N/A</v>
      </c>
      <c r="K2310" s="51" t="e">
        <f>VLOOKUP(H2310,Stock_list!A:T,16,FALSE)</f>
        <v>#N/A</v>
      </c>
      <c r="L2310" s="4">
        <v>44161</v>
      </c>
      <c r="M2310" s="132">
        <v>2</v>
      </c>
      <c r="P2310" s="4" t="e">
        <f>VLOOKUP(H2310,Stock_list!A:Y,25,FALSE)</f>
        <v>#N/A</v>
      </c>
      <c r="Q2310" s="143"/>
      <c r="T2310" s="144"/>
      <c r="U2310" s="145" t="e">
        <f>VLOOKUP(H2310,Stock_list!A:N,14,FALSE)</f>
        <v>#N/A</v>
      </c>
    </row>
    <row r="2311" spans="1:21" ht="16.5" customHeight="1">
      <c r="A2311" s="159" t="s">
        <v>266</v>
      </c>
      <c r="B2311" s="114" t="str">
        <f>VLOOKUP(A2311,'Data pick slip'!B:F,5,FALSE)</f>
        <v>KHJ-MC500-00</v>
      </c>
      <c r="F2311" s="157" t="s">
        <v>290</v>
      </c>
      <c r="I2311" s="139" t="s">
        <v>617</v>
      </c>
      <c r="J2311" s="139" t="s">
        <v>861</v>
      </c>
      <c r="K2311" s="51" t="s">
        <v>225</v>
      </c>
      <c r="L2311" s="4">
        <v>44084</v>
      </c>
      <c r="M2311" s="132">
        <v>1</v>
      </c>
      <c r="P2311" s="4" t="s">
        <v>214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267</v>
      </c>
      <c r="B2312" s="114" t="str">
        <f>VLOOKUP(A2312,'Data pick slip'!B:F,5,FALSE)</f>
        <v>KHJ-MC600-00</v>
      </c>
      <c r="F2312" s="157" t="s">
        <v>290</v>
      </c>
      <c r="I2312" s="139" t="s">
        <v>617</v>
      </c>
      <c r="J2312" s="139" t="s">
        <v>862</v>
      </c>
      <c r="K2312" s="51" t="s">
        <v>225</v>
      </c>
      <c r="L2312" s="4">
        <v>44084</v>
      </c>
      <c r="M2312" s="132">
        <v>1</v>
      </c>
      <c r="P2312" s="4" t="s">
        <v>214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261</v>
      </c>
      <c r="B2313" s="114" t="str">
        <f>VLOOKUP(A2313,'Data pick slip'!B:F,5,FALSE)</f>
        <v>KHJ-MC100-00</v>
      </c>
      <c r="F2313" s="157" t="s">
        <v>379</v>
      </c>
      <c r="H2313" s="138">
        <v>828</v>
      </c>
      <c r="I2313" s="139" t="e">
        <f>VLOOKUP(H2313,Stock_list!A:R,18,FALSE)</f>
        <v>#N/A</v>
      </c>
      <c r="J2313" s="139" t="e">
        <f>VLOOKUP(H2313,Stock_list!A:S,17,FALSE)</f>
        <v>#N/A</v>
      </c>
      <c r="K2313" s="51" t="e">
        <f>VLOOKUP(H2313,Stock_list!A:T,16,FALSE)</f>
        <v>#N/A</v>
      </c>
      <c r="L2313" s="4">
        <v>44159</v>
      </c>
      <c r="M2313" s="132">
        <v>38</v>
      </c>
      <c r="P2313" s="4" t="e">
        <f>VLOOKUP(H2313,Stock_list!A:Y,25,FALSE)</f>
        <v>#N/A</v>
      </c>
      <c r="Q2313" s="133"/>
      <c r="T2313" s="144"/>
      <c r="U2313" s="145" t="e">
        <f>VLOOKUP(H2313,Stock_list!A:N,14,FALSE)</f>
        <v>#N/A</v>
      </c>
    </row>
    <row r="2314" spans="1:21" ht="16.5" customHeight="1">
      <c r="A2314" s="159" t="s">
        <v>264</v>
      </c>
      <c r="B2314" s="114" t="str">
        <f>VLOOKUP(A2314,'Data pick slip'!B:F,5,FALSE)</f>
        <v>KHJ-MC200-00</v>
      </c>
      <c r="F2314" s="157" t="s">
        <v>379</v>
      </c>
      <c r="H2314" s="138">
        <v>828</v>
      </c>
      <c r="I2314" s="139" t="e">
        <f>VLOOKUP(H2314,Stock_list!A:R,18,FALSE)</f>
        <v>#N/A</v>
      </c>
      <c r="J2314" s="139" t="e">
        <f>VLOOKUP(H2314,Stock_list!A:S,17,FALSE)</f>
        <v>#N/A</v>
      </c>
      <c r="K2314" s="51" t="e">
        <f>VLOOKUP(H2314,Stock_list!A:T,16,FALSE)</f>
        <v>#N/A</v>
      </c>
      <c r="L2314" s="4">
        <v>44159</v>
      </c>
      <c r="M2314" s="132">
        <v>10</v>
      </c>
      <c r="P2314" s="4" t="e">
        <f>VLOOKUP(H2314,Stock_list!A:Y,25,FALSE)</f>
        <v>#N/A</v>
      </c>
      <c r="Q2314" s="133"/>
      <c r="T2314" s="144"/>
      <c r="U2314" s="145" t="e">
        <f>VLOOKUP(H2314,Stock_list!A:N,14,FALSE)</f>
        <v>#N/A</v>
      </c>
    </row>
    <row r="2315" spans="1:21" ht="16.5" customHeight="1">
      <c r="A2315" s="159" t="s">
        <v>265</v>
      </c>
      <c r="B2315" s="114" t="str">
        <f>VLOOKUP(A2315,'Data pick slip'!B:F,5,FALSE)</f>
        <v>KHJ-MC400-00</v>
      </c>
      <c r="F2315" s="157" t="s">
        <v>379</v>
      </c>
      <c r="H2315" s="138">
        <v>828</v>
      </c>
      <c r="I2315" s="139" t="e">
        <f>VLOOKUP(H2315,Stock_list!A:R,18,FALSE)</f>
        <v>#N/A</v>
      </c>
      <c r="J2315" s="139" t="e">
        <f>VLOOKUP(H2315,Stock_list!A:S,17,FALSE)</f>
        <v>#N/A</v>
      </c>
      <c r="K2315" s="51" t="e">
        <f>VLOOKUP(H2315,Stock_list!A:T,16,FALSE)</f>
        <v>#N/A</v>
      </c>
      <c r="L2315" s="4">
        <v>44159</v>
      </c>
      <c r="M2315" s="132">
        <v>1</v>
      </c>
      <c r="P2315" s="4" t="e">
        <f>VLOOKUP(H2315,Stock_list!A:Y,25,FALSE)</f>
        <v>#N/A</v>
      </c>
      <c r="Q2315" s="133"/>
      <c r="T2315" s="144"/>
      <c r="U2315" s="145" t="e">
        <f>VLOOKUP(H2315,Stock_list!A:N,14,FALSE)</f>
        <v>#N/A</v>
      </c>
    </row>
    <row r="2316" spans="1:21" ht="16.5" customHeight="1">
      <c r="A2316" s="159" t="s">
        <v>266</v>
      </c>
      <c r="B2316" s="114" t="str">
        <f>VLOOKUP(A2316,'Data pick slip'!B:F,5,FALSE)</f>
        <v>KHJ-MC500-00</v>
      </c>
      <c r="F2316" s="157" t="s">
        <v>379</v>
      </c>
      <c r="H2316" s="138">
        <v>828</v>
      </c>
      <c r="I2316" s="139" t="e">
        <f>VLOOKUP(H2316,Stock_list!A:R,18,FALSE)</f>
        <v>#N/A</v>
      </c>
      <c r="J2316" s="139" t="e">
        <f>VLOOKUP(H2316,Stock_list!A:S,17,FALSE)</f>
        <v>#N/A</v>
      </c>
      <c r="K2316" s="51" t="e">
        <f>VLOOKUP(H2316,Stock_list!A:T,16,FALSE)</f>
        <v>#N/A</v>
      </c>
      <c r="L2316" s="4">
        <v>44159</v>
      </c>
      <c r="M2316" s="132">
        <v>1</v>
      </c>
      <c r="P2316" s="4" t="e">
        <f>VLOOKUP(H2316,Stock_list!A:Y,25,FALSE)</f>
        <v>#N/A</v>
      </c>
      <c r="Q2316" s="133"/>
      <c r="T2316" s="144"/>
      <c r="U2316" s="145" t="e">
        <f>VLOOKUP(H2316,Stock_list!A:N,14,FALSE)</f>
        <v>#N/A</v>
      </c>
    </row>
    <row r="2317" spans="1:21" ht="16.5" customHeight="1">
      <c r="A2317" s="159" t="s">
        <v>265</v>
      </c>
      <c r="B2317" s="114" t="str">
        <f>VLOOKUP(A2317,'Data pick slip'!B:F,5,FALSE)</f>
        <v>KHJ-MC400-00</v>
      </c>
      <c r="F2317" s="157" t="s">
        <v>290</v>
      </c>
      <c r="I2317" s="139" t="s">
        <v>611</v>
      </c>
      <c r="J2317" s="139" t="s">
        <v>863</v>
      </c>
      <c r="K2317" s="51" t="s">
        <v>225</v>
      </c>
      <c r="L2317" s="4">
        <v>44090</v>
      </c>
      <c r="M2317" s="140">
        <v>2</v>
      </c>
      <c r="P2317" s="4" t="s">
        <v>214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266</v>
      </c>
      <c r="B2318" s="114" t="str">
        <f>VLOOKUP(A2318,'Data pick slip'!B:F,5,FALSE)</f>
        <v>KHJ-MC500-00</v>
      </c>
      <c r="F2318" s="157" t="s">
        <v>290</v>
      </c>
      <c r="I2318" s="139" t="s">
        <v>611</v>
      </c>
      <c r="J2318" s="139" t="s">
        <v>864</v>
      </c>
      <c r="K2318" s="51" t="s">
        <v>225</v>
      </c>
      <c r="L2318" s="4">
        <v>44090</v>
      </c>
      <c r="M2318" s="140">
        <v>1</v>
      </c>
      <c r="P2318" s="4" t="s">
        <v>214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264</v>
      </c>
      <c r="B2319" s="114" t="str">
        <f>VLOOKUP(A2319,'Data pick slip'!B:F,5,FALSE)</f>
        <v>KHJ-MC200-00</v>
      </c>
      <c r="F2319" s="157" t="s">
        <v>290</v>
      </c>
      <c r="I2319" s="139" t="s">
        <v>611</v>
      </c>
      <c r="J2319" s="139" t="s">
        <v>865</v>
      </c>
      <c r="K2319" s="51" t="s">
        <v>225</v>
      </c>
      <c r="L2319" s="4">
        <v>44090</v>
      </c>
      <c r="M2319" s="140">
        <v>20</v>
      </c>
      <c r="P2319" s="4" t="s">
        <v>214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261</v>
      </c>
      <c r="B2320" s="114" t="str">
        <f>VLOOKUP(A2320,'Data pick slip'!B:F,5,FALSE)</f>
        <v>KHJ-MC100-00</v>
      </c>
      <c r="F2320" s="157" t="s">
        <v>290</v>
      </c>
      <c r="H2320" s="138">
        <v>830</v>
      </c>
      <c r="I2320" s="139" t="e">
        <f>VLOOKUP(H2320,Stock_list!A:R,18,FALSE)</f>
        <v>#N/A</v>
      </c>
      <c r="J2320" s="139" t="e">
        <f>VLOOKUP(H2320,Stock_list!A:S,17,FALSE)</f>
        <v>#N/A</v>
      </c>
      <c r="K2320" s="51" t="e">
        <f>VLOOKUP(H2320,Stock_list!A:T,16,FALSE)</f>
        <v>#N/A</v>
      </c>
      <c r="L2320" s="4">
        <v>44159</v>
      </c>
      <c r="M2320" s="132">
        <v>240</v>
      </c>
      <c r="P2320" s="4" t="e">
        <f>VLOOKUP(H2320,Stock_list!A:Y,25,FALSE)</f>
        <v>#N/A</v>
      </c>
      <c r="Q2320" s="143"/>
      <c r="T2320" s="144"/>
      <c r="U2320" s="145" t="e">
        <f>VLOOKUP(H2320,Stock_list!A:N,14,FALSE)</f>
        <v>#N/A</v>
      </c>
    </row>
    <row r="2321" spans="1:21" ht="16.5" customHeight="1">
      <c r="A2321" s="159" t="s">
        <v>264</v>
      </c>
      <c r="B2321" s="114" t="str">
        <f>VLOOKUP(A2321,'Data pick slip'!B:F,5,FALSE)</f>
        <v>KHJ-MC200-00</v>
      </c>
      <c r="F2321" s="157" t="s">
        <v>290</v>
      </c>
      <c r="H2321" s="138">
        <v>830</v>
      </c>
      <c r="I2321" s="139" t="e">
        <f>VLOOKUP(H2321,Stock_list!A:R,18,FALSE)</f>
        <v>#N/A</v>
      </c>
      <c r="J2321" s="139" t="e">
        <f>VLOOKUP(H2321,Stock_list!A:S,17,FALSE)</f>
        <v>#N/A</v>
      </c>
      <c r="K2321" s="51" t="e">
        <f>VLOOKUP(H2321,Stock_list!A:T,16,FALSE)</f>
        <v>#N/A</v>
      </c>
      <c r="L2321" s="4">
        <v>44159</v>
      </c>
      <c r="M2321" s="132">
        <v>20</v>
      </c>
      <c r="P2321" s="4" t="e">
        <f>VLOOKUP(H2321,Stock_list!A:Y,25,FALSE)</f>
        <v>#N/A</v>
      </c>
      <c r="Q2321" s="143"/>
      <c r="T2321" s="144"/>
      <c r="U2321" s="145" t="e">
        <f>VLOOKUP(H2321,Stock_list!A:N,14,FALSE)</f>
        <v>#N/A</v>
      </c>
    </row>
    <row r="2322" spans="1:21" ht="16.5" customHeight="1">
      <c r="A2322" s="159" t="s">
        <v>265</v>
      </c>
      <c r="B2322" s="114" t="str">
        <f>VLOOKUP(A2322,'Data pick slip'!B:F,5,FALSE)</f>
        <v>KHJ-MC400-00</v>
      </c>
      <c r="F2322" s="157" t="s">
        <v>290</v>
      </c>
      <c r="H2322" s="138">
        <v>830</v>
      </c>
      <c r="I2322" s="139" t="e">
        <f>VLOOKUP(H2322,Stock_list!A:R,18,FALSE)</f>
        <v>#N/A</v>
      </c>
      <c r="J2322" s="139" t="e">
        <f>VLOOKUP(H2322,Stock_list!A:S,17,FALSE)</f>
        <v>#N/A</v>
      </c>
      <c r="K2322" s="51" t="e">
        <f>VLOOKUP(H2322,Stock_list!A:T,16,FALSE)</f>
        <v>#N/A</v>
      </c>
      <c r="L2322" s="4">
        <v>44159</v>
      </c>
      <c r="M2322" s="132">
        <v>9</v>
      </c>
      <c r="P2322" s="4" t="e">
        <f>VLOOKUP(H2322,Stock_list!A:Y,25,FALSE)</f>
        <v>#N/A</v>
      </c>
      <c r="Q2322" s="143"/>
      <c r="T2322" s="144"/>
      <c r="U2322" s="145" t="e">
        <f>VLOOKUP(H2322,Stock_list!A:N,14,FALSE)</f>
        <v>#N/A</v>
      </c>
    </row>
    <row r="2323" spans="1:21" ht="16.5" customHeight="1">
      <c r="A2323" s="159" t="s">
        <v>266</v>
      </c>
      <c r="B2323" s="114" t="str">
        <f>VLOOKUP(A2323,'Data pick slip'!B:F,5,FALSE)</f>
        <v>KHJ-MC500-00</v>
      </c>
      <c r="F2323" s="157" t="s">
        <v>290</v>
      </c>
      <c r="H2323" s="138">
        <v>830</v>
      </c>
      <c r="I2323" s="139" t="e">
        <f>VLOOKUP(H2323,Stock_list!A:R,18,FALSE)</f>
        <v>#N/A</v>
      </c>
      <c r="J2323" s="139" t="e">
        <f>VLOOKUP(H2323,Stock_list!A:S,17,FALSE)</f>
        <v>#N/A</v>
      </c>
      <c r="K2323" s="51" t="e">
        <f>VLOOKUP(H2323,Stock_list!A:T,16,FALSE)</f>
        <v>#N/A</v>
      </c>
      <c r="L2323" s="4">
        <v>44159</v>
      </c>
      <c r="M2323" s="132">
        <v>2</v>
      </c>
      <c r="P2323" s="4" t="e">
        <f>VLOOKUP(H2323,Stock_list!A:Y,25,FALSE)</f>
        <v>#N/A</v>
      </c>
      <c r="Q2323" s="143"/>
      <c r="T2323" s="144"/>
      <c r="U2323" s="145" t="e">
        <f>VLOOKUP(H2323,Stock_list!A:N,14,FALSE)</f>
        <v>#N/A</v>
      </c>
    </row>
    <row r="2324" spans="1:21" ht="16.5" customHeight="1">
      <c r="A2324" s="159" t="s">
        <v>266</v>
      </c>
      <c r="B2324" s="114" t="str">
        <f>VLOOKUP(A2324,'Data pick slip'!B:F,5,FALSE)</f>
        <v>KHJ-MC500-00</v>
      </c>
      <c r="F2324" s="157" t="s">
        <v>290</v>
      </c>
      <c r="I2324" s="139" t="s">
        <v>633</v>
      </c>
      <c r="J2324" s="139" t="s">
        <v>866</v>
      </c>
      <c r="K2324" s="51" t="s">
        <v>225</v>
      </c>
      <c r="L2324" s="4">
        <v>44091</v>
      </c>
      <c r="M2324" s="140">
        <v>1</v>
      </c>
      <c r="P2324" s="4" t="s">
        <v>214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261</v>
      </c>
      <c r="B2325" s="114" t="str">
        <f>VLOOKUP(A2325,'Data pick slip'!B:F,5,FALSE)</f>
        <v>KHJ-MC100-00</v>
      </c>
      <c r="F2325" s="157" t="s">
        <v>379</v>
      </c>
      <c r="H2325" s="138">
        <v>835</v>
      </c>
      <c r="I2325" s="139" t="e">
        <f>VLOOKUP(H2325,Stock_list!A:R,18,FALSE)</f>
        <v>#N/A</v>
      </c>
      <c r="J2325" s="139" t="e">
        <f>VLOOKUP(H2325,Stock_list!A:S,17,FALSE)</f>
        <v>#N/A</v>
      </c>
      <c r="K2325" s="51" t="e">
        <f>VLOOKUP(H2325,Stock_list!A:T,16,FALSE)</f>
        <v>#N/A</v>
      </c>
      <c r="L2325" s="4">
        <v>44151</v>
      </c>
      <c r="M2325" s="140">
        <v>2</v>
      </c>
      <c r="P2325" s="4" t="e">
        <f>VLOOKUP(H2325,Stock_list!A:Y,25,FALSE)</f>
        <v>#N/A</v>
      </c>
      <c r="Q2325" s="143"/>
      <c r="T2325" s="144"/>
      <c r="U2325" s="145" t="e">
        <f>VLOOKUP(H2325,Stock_list!A:N,14,FALSE)</f>
        <v>#N/A</v>
      </c>
    </row>
    <row r="2326" spans="1:21" ht="16.5" customHeight="1">
      <c r="A2326" s="159" t="s">
        <v>261</v>
      </c>
      <c r="B2326" s="114" t="str">
        <f>VLOOKUP(A2326,'Data pick slip'!B:F,5,FALSE)</f>
        <v>KHJ-MC100-00</v>
      </c>
      <c r="F2326" s="157" t="s">
        <v>290</v>
      </c>
      <c r="H2326" s="138">
        <v>835</v>
      </c>
      <c r="I2326" s="139" t="e">
        <f>VLOOKUP(H2326,Stock_list!A:R,18,FALSE)</f>
        <v>#N/A</v>
      </c>
      <c r="J2326" s="139" t="e">
        <f>VLOOKUP(H2326,Stock_list!A:S,17,FALSE)</f>
        <v>#N/A</v>
      </c>
      <c r="K2326" s="51" t="e">
        <f>VLOOKUP(H2326,Stock_list!A:T,16,FALSE)</f>
        <v>#N/A</v>
      </c>
      <c r="L2326" s="4">
        <v>44151</v>
      </c>
      <c r="M2326" s="140">
        <v>2</v>
      </c>
      <c r="P2326" s="4" t="e">
        <f>VLOOKUP(H2326,Stock_list!A:Y,25,FALSE)</f>
        <v>#N/A</v>
      </c>
      <c r="Q2326" s="143"/>
      <c r="S2326" s="268" t="s">
        <v>295</v>
      </c>
      <c r="T2326" s="144" t="s">
        <v>867</v>
      </c>
      <c r="U2326" s="145" t="e">
        <f>VLOOKUP(H2326,Stock_list!A:N,14,FALSE)</f>
        <v>#N/A</v>
      </c>
    </row>
    <row r="2327" spans="1:21" ht="16.5" customHeight="1">
      <c r="A2327" s="159" t="s">
        <v>261</v>
      </c>
      <c r="B2327" s="114" t="str">
        <f>VLOOKUP(A2327,'Data pick slip'!B:F,5,FALSE)</f>
        <v>KHJ-MC100-00</v>
      </c>
      <c r="F2327" s="157" t="s">
        <v>290</v>
      </c>
      <c r="H2327" s="138">
        <v>835</v>
      </c>
      <c r="I2327" s="139" t="e">
        <f>VLOOKUP(H2327,Stock_list!A:R,18,FALSE)</f>
        <v>#N/A</v>
      </c>
      <c r="J2327" s="139" t="e">
        <f>VLOOKUP(H2327,Stock_list!A:S,17,FALSE)</f>
        <v>#N/A</v>
      </c>
      <c r="K2327" s="51" t="e">
        <f>VLOOKUP(H2327,Stock_list!A:T,16,FALSE)</f>
        <v>#N/A</v>
      </c>
      <c r="L2327" s="4">
        <v>44151</v>
      </c>
      <c r="M2327" s="140">
        <v>2</v>
      </c>
      <c r="P2327" s="4" t="e">
        <f>VLOOKUP(H2327,Stock_list!A:Y,25,FALSE)</f>
        <v>#N/A</v>
      </c>
      <c r="Q2327" s="143"/>
      <c r="S2327" s="123" t="s">
        <v>521</v>
      </c>
      <c r="T2327" s="144" t="s">
        <v>839</v>
      </c>
      <c r="U2327" s="145" t="e">
        <f>VLOOKUP(H2327,Stock_list!A:N,14,FALSE)</f>
        <v>#N/A</v>
      </c>
    </row>
    <row r="2328" spans="1:21" ht="16.5" customHeight="1">
      <c r="A2328" s="159" t="s">
        <v>261</v>
      </c>
      <c r="B2328" s="114" t="str">
        <f>VLOOKUP(A2328,'Data pick slip'!B:F,5,FALSE)</f>
        <v>KHJ-MC100-00</v>
      </c>
      <c r="F2328" s="157" t="s">
        <v>290</v>
      </c>
      <c r="H2328" s="138">
        <v>835</v>
      </c>
      <c r="I2328" s="139" t="e">
        <f>VLOOKUP(H2328,Stock_list!A:R,18,FALSE)</f>
        <v>#N/A</v>
      </c>
      <c r="J2328" s="139" t="e">
        <f>VLOOKUP(H2328,Stock_list!A:S,17,FALSE)</f>
        <v>#N/A</v>
      </c>
      <c r="K2328" s="51" t="e">
        <f>VLOOKUP(H2328,Stock_list!A:T,16,FALSE)</f>
        <v>#N/A</v>
      </c>
      <c r="L2328" s="4">
        <v>44151</v>
      </c>
      <c r="M2328" s="140">
        <v>4</v>
      </c>
      <c r="P2328" s="4" t="e">
        <f>VLOOKUP(H2328,Stock_list!A:Y,25,FALSE)</f>
        <v>#N/A</v>
      </c>
      <c r="Q2328" s="143"/>
      <c r="S2328" s="123" t="s">
        <v>521</v>
      </c>
      <c r="T2328" s="144" t="s">
        <v>868</v>
      </c>
      <c r="U2328" s="145" t="e">
        <f>VLOOKUP(H2328,Stock_list!A:N,14,FALSE)</f>
        <v>#N/A</v>
      </c>
    </row>
    <row r="2329" spans="1:21" ht="16.5" customHeight="1">
      <c r="A2329" s="159" t="s">
        <v>261</v>
      </c>
      <c r="B2329" s="114" t="str">
        <f>VLOOKUP(A2329,'Data pick slip'!B:F,5,FALSE)</f>
        <v>KHJ-MC100-00</v>
      </c>
      <c r="F2329" s="157" t="s">
        <v>379</v>
      </c>
      <c r="H2329" s="138">
        <v>837</v>
      </c>
      <c r="I2329" s="139" t="e">
        <f>VLOOKUP(H2329,Stock_list!A:R,18,FALSE)</f>
        <v>#N/A</v>
      </c>
      <c r="J2329" s="139" t="e">
        <f>VLOOKUP(H2329,Stock_list!A:S,17,FALSE)</f>
        <v>#N/A</v>
      </c>
      <c r="K2329" s="51" t="e">
        <f>VLOOKUP(H2329,Stock_list!A:T,16,FALSE)</f>
        <v>#N/A</v>
      </c>
      <c r="L2329" s="4">
        <v>44166</v>
      </c>
      <c r="M2329" s="132">
        <v>60</v>
      </c>
      <c r="P2329" s="4" t="e">
        <f>VLOOKUP(H2329,Stock_list!A:Y,25,FALSE)</f>
        <v>#N/A</v>
      </c>
      <c r="Q2329" s="133"/>
      <c r="T2329" s="144"/>
      <c r="U2329" s="145" t="e">
        <f>VLOOKUP(H2329,Stock_list!A:N,14,FALSE)</f>
        <v>#N/A</v>
      </c>
    </row>
    <row r="2330" spans="1:21" ht="16.5" customHeight="1">
      <c r="A2330" s="159" t="s">
        <v>264</v>
      </c>
      <c r="B2330" s="114" t="str">
        <f>VLOOKUP(A2330,'Data pick slip'!B:F,5,FALSE)</f>
        <v>KHJ-MC200-00</v>
      </c>
      <c r="F2330" s="157" t="s">
        <v>379</v>
      </c>
      <c r="H2330" s="138">
        <v>837</v>
      </c>
      <c r="I2330" s="139" t="e">
        <f>VLOOKUP(H2330,Stock_list!A:R,18,FALSE)</f>
        <v>#N/A</v>
      </c>
      <c r="J2330" s="139" t="e">
        <f>VLOOKUP(H2330,Stock_list!A:S,17,FALSE)</f>
        <v>#N/A</v>
      </c>
      <c r="K2330" s="51" t="e">
        <f>VLOOKUP(H2330,Stock_list!A:T,16,FALSE)</f>
        <v>#N/A</v>
      </c>
      <c r="L2330" s="4">
        <v>44166</v>
      </c>
      <c r="M2330" s="132">
        <v>4</v>
      </c>
      <c r="P2330" s="4" t="e">
        <f>VLOOKUP(H2330,Stock_list!A:Y,25,FALSE)</f>
        <v>#N/A</v>
      </c>
      <c r="Q2330" s="133"/>
      <c r="T2330" s="144"/>
      <c r="U2330" s="145" t="e">
        <f>VLOOKUP(H2330,Stock_list!A:N,14,FALSE)</f>
        <v>#N/A</v>
      </c>
    </row>
    <row r="2331" spans="1:21" ht="16.5" customHeight="1">
      <c r="A2331" s="159" t="s">
        <v>265</v>
      </c>
      <c r="B2331" s="114" t="str">
        <f>VLOOKUP(A2331,'Data pick slip'!B:F,5,FALSE)</f>
        <v>KHJ-MC400-00</v>
      </c>
      <c r="F2331" s="157" t="s">
        <v>379</v>
      </c>
      <c r="H2331" s="138">
        <v>837</v>
      </c>
      <c r="I2331" s="139" t="e">
        <f>VLOOKUP(H2331,Stock_list!A:R,18,FALSE)</f>
        <v>#N/A</v>
      </c>
      <c r="J2331" s="139" t="e">
        <f>VLOOKUP(H2331,Stock_list!A:S,17,FALSE)</f>
        <v>#N/A</v>
      </c>
      <c r="K2331" s="51" t="e">
        <f>VLOOKUP(H2331,Stock_list!A:T,16,FALSE)</f>
        <v>#N/A</v>
      </c>
      <c r="L2331" s="4">
        <v>44166</v>
      </c>
      <c r="M2331" s="132">
        <v>2</v>
      </c>
      <c r="P2331" s="4" t="e">
        <f>VLOOKUP(H2331,Stock_list!A:Y,25,FALSE)</f>
        <v>#N/A</v>
      </c>
      <c r="Q2331" s="133"/>
      <c r="T2331" s="144"/>
      <c r="U2331" s="145" t="e">
        <f>VLOOKUP(H2331,Stock_list!A:N,14,FALSE)</f>
        <v>#N/A</v>
      </c>
    </row>
    <row r="2332" spans="1:21" ht="16.5" customHeight="1">
      <c r="A2332" s="159" t="s">
        <v>261</v>
      </c>
      <c r="B2332" s="114" t="str">
        <f>VLOOKUP(A2332,'Data pick slip'!B:F,5,FALSE)</f>
        <v>KHJ-MC100-00</v>
      </c>
      <c r="F2332" s="157" t="s">
        <v>379</v>
      </c>
      <c r="H2332" s="138">
        <v>837</v>
      </c>
      <c r="I2332" s="139" t="e">
        <f>VLOOKUP(H2332,Stock_list!A:R,18,FALSE)</f>
        <v>#N/A</v>
      </c>
      <c r="J2332" s="139" t="e">
        <f>VLOOKUP(H2332,Stock_list!A:S,17,FALSE)</f>
        <v>#N/A</v>
      </c>
      <c r="K2332" s="51" t="e">
        <f>VLOOKUP(H2332,Stock_list!A:T,16,FALSE)</f>
        <v>#N/A</v>
      </c>
      <c r="L2332" s="4">
        <v>44182</v>
      </c>
      <c r="M2332" s="132">
        <v>16</v>
      </c>
      <c r="P2332" s="4" t="e">
        <f>VLOOKUP(H2332,Stock_list!A:Y,25,FALSE)</f>
        <v>#N/A</v>
      </c>
      <c r="Q2332" s="133"/>
      <c r="T2332" s="144"/>
      <c r="U2332" s="145" t="e">
        <f>VLOOKUP(H2332,Stock_list!A:N,14,FALSE)</f>
        <v>#N/A</v>
      </c>
    </row>
    <row r="2333" spans="1:21" ht="16.5" customHeight="1">
      <c r="A2333" s="159" t="s">
        <v>261</v>
      </c>
      <c r="B2333" s="114" t="str">
        <f>VLOOKUP(A2333,'Data pick slip'!B:F,5,FALSE)</f>
        <v>KHJ-MC100-00</v>
      </c>
      <c r="F2333" s="157" t="s">
        <v>379</v>
      </c>
      <c r="H2333" s="138">
        <v>837</v>
      </c>
      <c r="I2333" s="139" t="e">
        <f>VLOOKUP(H2333,Stock_list!A:R,18,FALSE)</f>
        <v>#N/A</v>
      </c>
      <c r="J2333" s="139" t="e">
        <f>VLOOKUP(H2333,Stock_list!A:S,17,FALSE)</f>
        <v>#N/A</v>
      </c>
      <c r="K2333" s="51" t="e">
        <f>VLOOKUP(H2333,Stock_list!A:T,16,FALSE)</f>
        <v>#N/A</v>
      </c>
      <c r="L2333" s="4">
        <v>44182</v>
      </c>
      <c r="M2333" s="132">
        <v>44</v>
      </c>
      <c r="P2333" s="4" t="e">
        <f>VLOOKUP(H2333,Stock_list!A:Y,25,FALSE)</f>
        <v>#N/A</v>
      </c>
      <c r="Q2333" s="133"/>
      <c r="T2333" s="144"/>
      <c r="U2333" s="145" t="e">
        <f>VLOOKUP(H2333,Stock_list!A:N,14,FALSE)</f>
        <v>#N/A</v>
      </c>
    </row>
    <row r="2334" spans="1:21" ht="16.5" customHeight="1">
      <c r="A2334" s="159" t="s">
        <v>261</v>
      </c>
      <c r="B2334" s="114" t="str">
        <f>VLOOKUP(A2334,'Data pick slip'!B:F,5,FALSE)</f>
        <v>KHJ-MC100-00</v>
      </c>
      <c r="F2334" s="157" t="s">
        <v>290</v>
      </c>
      <c r="H2334" s="138">
        <v>837</v>
      </c>
      <c r="I2334" s="139" t="e">
        <f>VLOOKUP(H2334,Stock_list!A:R,18,FALSE)</f>
        <v>#N/A</v>
      </c>
      <c r="J2334" s="139" t="e">
        <f>VLOOKUP(H2334,Stock_list!A:S,17,FALSE)</f>
        <v>#N/A</v>
      </c>
      <c r="K2334" s="51" t="e">
        <f>VLOOKUP(H2334,Stock_list!A:T,16,FALSE)</f>
        <v>#N/A</v>
      </c>
      <c r="L2334" s="4">
        <v>44189</v>
      </c>
      <c r="M2334" s="132"/>
      <c r="O2334" s="132">
        <f>44-44</f>
        <v>0</v>
      </c>
      <c r="P2334" s="4" t="e">
        <f>VLOOKUP(H2334,Stock_list!A:Y,25,FALSE)</f>
        <v>#N/A</v>
      </c>
      <c r="Q2334" s="133"/>
      <c r="T2334" s="144"/>
      <c r="U2334" s="145" t="e">
        <f>VLOOKUP(H2334,Stock_list!A:N,14,FALSE)</f>
        <v>#N/A</v>
      </c>
    </row>
    <row r="2335" spans="1:21" ht="16.5" customHeight="1">
      <c r="A2335" s="159" t="s">
        <v>264</v>
      </c>
      <c r="B2335" s="114" t="str">
        <f>VLOOKUP(A2335,'Data pick slip'!B:F,5,FALSE)</f>
        <v>KHJ-MC200-00</v>
      </c>
      <c r="F2335" s="157" t="s">
        <v>379</v>
      </c>
      <c r="H2335" s="138">
        <v>837</v>
      </c>
      <c r="I2335" s="139" t="e">
        <f>VLOOKUP(H2335,Stock_list!A:R,18,FALSE)</f>
        <v>#N/A</v>
      </c>
      <c r="J2335" s="139" t="e">
        <f>VLOOKUP(H2335,Stock_list!A:S,17,FALSE)</f>
        <v>#N/A</v>
      </c>
      <c r="K2335" s="51" t="e">
        <f>VLOOKUP(H2335,Stock_list!A:T,16,FALSE)</f>
        <v>#N/A</v>
      </c>
      <c r="L2335" s="4">
        <v>44182</v>
      </c>
      <c r="M2335" s="132">
        <v>4</v>
      </c>
      <c r="P2335" s="4" t="e">
        <f>VLOOKUP(H2335,Stock_list!A:Y,25,FALSE)</f>
        <v>#N/A</v>
      </c>
      <c r="Q2335" s="133"/>
      <c r="T2335" s="144"/>
      <c r="U2335" s="145" t="e">
        <f>VLOOKUP(H2335,Stock_list!A:N,14,FALSE)</f>
        <v>#N/A</v>
      </c>
    </row>
    <row r="2336" spans="1:21" ht="16.5" customHeight="1">
      <c r="A2336" s="159" t="s">
        <v>265</v>
      </c>
      <c r="B2336" s="114" t="str">
        <f>VLOOKUP(A2336,'Data pick slip'!B:F,5,FALSE)</f>
        <v>KHJ-MC400-00</v>
      </c>
      <c r="F2336" s="157" t="s">
        <v>379</v>
      </c>
      <c r="H2336" s="138">
        <v>837</v>
      </c>
      <c r="I2336" s="139" t="e">
        <f>VLOOKUP(H2336,Stock_list!A:R,18,FALSE)</f>
        <v>#N/A</v>
      </c>
      <c r="J2336" s="139" t="e">
        <f>VLOOKUP(H2336,Stock_list!A:S,17,FALSE)</f>
        <v>#N/A</v>
      </c>
      <c r="K2336" s="51" t="e">
        <f>VLOOKUP(H2336,Stock_list!A:T,16,FALSE)</f>
        <v>#N/A</v>
      </c>
      <c r="L2336" s="4">
        <v>44182</v>
      </c>
      <c r="M2336" s="132">
        <v>2</v>
      </c>
      <c r="P2336" s="4" t="e">
        <f>VLOOKUP(H2336,Stock_list!A:Y,25,FALSE)</f>
        <v>#N/A</v>
      </c>
      <c r="Q2336" s="133"/>
      <c r="T2336" s="144"/>
      <c r="U2336" s="145" t="e">
        <f>VLOOKUP(H2336,Stock_list!A:N,14,FALSE)</f>
        <v>#N/A</v>
      </c>
    </row>
    <row r="2337" spans="1:21" ht="16.5" customHeight="1">
      <c r="A2337" s="159" t="s">
        <v>261</v>
      </c>
      <c r="B2337" s="114" t="str">
        <f>VLOOKUP(A2337,'Data pick slip'!B:F,5,FALSE)</f>
        <v>KHJ-MC100-00</v>
      </c>
      <c r="F2337" s="157" t="s">
        <v>290</v>
      </c>
      <c r="H2337" s="138">
        <v>845</v>
      </c>
      <c r="I2337" s="139" t="e">
        <f>VLOOKUP(H2337,Stock_list!A:R,18,FALSE)</f>
        <v>#N/A</v>
      </c>
      <c r="J2337" s="139" t="e">
        <f>VLOOKUP(H2337,Stock_list!A:S,17,FALSE)</f>
        <v>#N/A</v>
      </c>
      <c r="K2337" s="51" t="e">
        <f>VLOOKUP(H2337,Stock_list!A:T,16,FALSE)</f>
        <v>#N/A</v>
      </c>
      <c r="L2337" s="4">
        <v>44160</v>
      </c>
      <c r="M2337" s="140">
        <v>2</v>
      </c>
      <c r="P2337" s="4" t="e">
        <f>VLOOKUP(H2337,Stock_list!A:Y,25,FALSE)</f>
        <v>#N/A</v>
      </c>
      <c r="Q2337" s="143"/>
      <c r="S2337" s="123" t="s">
        <v>521</v>
      </c>
      <c r="T2337" s="144" t="s">
        <v>839</v>
      </c>
      <c r="U2337" s="145" t="e">
        <f>VLOOKUP(H2337,Stock_list!A:N,14,FALSE)</f>
        <v>#N/A</v>
      </c>
    </row>
    <row r="2338" spans="1:21" ht="16.5" customHeight="1">
      <c r="A2338" s="159" t="s">
        <v>265</v>
      </c>
      <c r="B2338" s="114" t="str">
        <f>VLOOKUP(A2338,'Data pick slip'!B:F,5,FALSE)</f>
        <v>KHJ-MC400-00</v>
      </c>
      <c r="F2338" s="157" t="s">
        <v>290</v>
      </c>
      <c r="I2338" s="139" t="s">
        <v>611</v>
      </c>
      <c r="J2338" s="139" t="s">
        <v>869</v>
      </c>
      <c r="K2338" s="51" t="s">
        <v>225</v>
      </c>
      <c r="L2338" s="4">
        <v>44095</v>
      </c>
      <c r="M2338" s="140">
        <v>4</v>
      </c>
      <c r="P2338" s="4" t="s">
        <v>214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272</v>
      </c>
      <c r="B2339" s="114" t="str">
        <f>VLOOKUP(A2339,'Data pick slip'!B:F,5,FALSE)</f>
        <v>KLJ-MC100-00</v>
      </c>
      <c r="F2339" s="157" t="s">
        <v>379</v>
      </c>
      <c r="I2339" s="139" t="s">
        <v>533</v>
      </c>
      <c r="J2339" s="139" t="s">
        <v>870</v>
      </c>
      <c r="K2339" s="51" t="s">
        <v>225</v>
      </c>
      <c r="L2339" s="4">
        <v>44090</v>
      </c>
      <c r="M2339" s="140">
        <v>20</v>
      </c>
      <c r="P2339" s="4" t="s">
        <v>214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261</v>
      </c>
      <c r="B2340" s="114" t="str">
        <f>VLOOKUP(A2340,'Data pick slip'!B:F,5,FALSE)</f>
        <v>KHJ-MC100-00</v>
      </c>
      <c r="F2340" s="157" t="s">
        <v>379</v>
      </c>
      <c r="I2340" s="139" t="s">
        <v>533</v>
      </c>
      <c r="J2340" s="139" t="s">
        <v>871</v>
      </c>
      <c r="K2340" s="51" t="s">
        <v>225</v>
      </c>
      <c r="L2340" s="4">
        <v>44096</v>
      </c>
      <c r="M2340" s="140">
        <v>76</v>
      </c>
      <c r="P2340" s="4" t="s">
        <v>214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264</v>
      </c>
      <c r="B2341" s="114" t="str">
        <f>VLOOKUP(A2341,'Data pick slip'!B:F,5,FALSE)</f>
        <v>KHJ-MC200-00</v>
      </c>
      <c r="F2341" s="157" t="s">
        <v>290</v>
      </c>
      <c r="H2341" s="138">
        <v>847</v>
      </c>
      <c r="I2341" s="139" t="e">
        <f>VLOOKUP(H2341,Stock_list!A:R,18,FALSE)</f>
        <v>#N/A</v>
      </c>
      <c r="J2341" s="139" t="e">
        <f>VLOOKUP(H2341,Stock_list!A:S,17,FALSE)</f>
        <v>#N/A</v>
      </c>
      <c r="K2341" s="51" t="e">
        <f>VLOOKUP(H2341,Stock_list!A:T,16,FALSE)</f>
        <v>#N/A</v>
      </c>
      <c r="L2341" s="4">
        <v>44145</v>
      </c>
      <c r="M2341" s="132">
        <v>4</v>
      </c>
      <c r="P2341" s="4" t="e">
        <f>VLOOKUP(H2341,Stock_list!A:Y,25,FALSE)</f>
        <v>#N/A</v>
      </c>
      <c r="Q2341" s="143"/>
      <c r="T2341" s="144"/>
      <c r="U2341" s="145" t="e">
        <f>VLOOKUP(H2341,Stock_list!A:N,14,FALSE)</f>
        <v>#N/A</v>
      </c>
    </row>
    <row r="2342" spans="1:21" ht="16.5" customHeight="1">
      <c r="A2342" s="159" t="s">
        <v>261</v>
      </c>
      <c r="B2342" s="114" t="str">
        <f>VLOOKUP(A2342,'Data pick slip'!B:F,5,FALSE)</f>
        <v>KHJ-MC100-00</v>
      </c>
      <c r="F2342" s="157" t="s">
        <v>379</v>
      </c>
      <c r="H2342" s="138">
        <v>850</v>
      </c>
      <c r="I2342" s="139" t="e">
        <f>VLOOKUP(H2342,Stock_list!A:R,18,FALSE)</f>
        <v>#N/A</v>
      </c>
      <c r="J2342" s="139" t="e">
        <f>VLOOKUP(H2342,Stock_list!A:S,17,FALSE)</f>
        <v>#N/A</v>
      </c>
      <c r="K2342" s="51" t="e">
        <f>VLOOKUP(H2342,Stock_list!A:T,16,FALSE)</f>
        <v>#N/A</v>
      </c>
      <c r="L2342" s="4">
        <v>44179</v>
      </c>
      <c r="M2342" s="132">
        <v>150</v>
      </c>
      <c r="P2342" s="4" t="e">
        <f>VLOOKUP(H2342,Stock_list!A:Y,25,FALSE)</f>
        <v>#N/A</v>
      </c>
      <c r="Q2342" s="143"/>
      <c r="T2342" s="144"/>
      <c r="U2342" s="145" t="e">
        <f>VLOOKUP(H2342,Stock_list!A:N,14,FALSE)</f>
        <v>#N/A</v>
      </c>
    </row>
    <row r="2343" spans="1:21" ht="16.5" customHeight="1">
      <c r="A2343" s="159" t="s">
        <v>273</v>
      </c>
      <c r="B2343" s="114" t="str">
        <f>VLOOKUP(A2343,'Data pick slip'!B:F,5,FALSE)</f>
        <v>KLJ-MC200-00</v>
      </c>
      <c r="F2343" s="157" t="s">
        <v>379</v>
      </c>
      <c r="H2343" s="138">
        <v>850</v>
      </c>
      <c r="I2343" s="139" t="e">
        <f>VLOOKUP(H2343,Stock_list!A:R,18,FALSE)</f>
        <v>#N/A</v>
      </c>
      <c r="J2343" s="139" t="e">
        <f>VLOOKUP(H2343,Stock_list!A:S,17,FALSE)</f>
        <v>#N/A</v>
      </c>
      <c r="K2343" s="51" t="e">
        <f>VLOOKUP(H2343,Stock_list!A:T,16,FALSE)</f>
        <v>#N/A</v>
      </c>
      <c r="L2343" s="4">
        <v>44179</v>
      </c>
      <c r="M2343" s="132">
        <v>30</v>
      </c>
      <c r="P2343" s="4" t="e">
        <f>VLOOKUP(H2343,Stock_list!A:Y,25,FALSE)</f>
        <v>#N/A</v>
      </c>
      <c r="T2343" s="144"/>
      <c r="U2343" s="145" t="e">
        <f>VLOOKUP(H2343,Stock_list!A:N,14,FALSE)</f>
        <v>#N/A</v>
      </c>
    </row>
    <row r="2344" spans="1:21" ht="16.5" customHeight="1">
      <c r="A2344" s="159" t="s">
        <v>265</v>
      </c>
      <c r="B2344" s="114" t="str">
        <f>VLOOKUP(A2344,'Data pick slip'!B:F,5,FALSE)</f>
        <v>KHJ-MC400-00</v>
      </c>
      <c r="F2344" s="157" t="s">
        <v>379</v>
      </c>
      <c r="H2344" s="138">
        <v>850</v>
      </c>
      <c r="I2344" s="139" t="e">
        <f>VLOOKUP(H2344,Stock_list!A:R,18,FALSE)</f>
        <v>#N/A</v>
      </c>
      <c r="J2344" s="139" t="e">
        <f>VLOOKUP(H2344,Stock_list!A:S,17,FALSE)</f>
        <v>#N/A</v>
      </c>
      <c r="K2344" s="51" t="e">
        <f>VLOOKUP(H2344,Stock_list!A:T,16,FALSE)</f>
        <v>#N/A</v>
      </c>
      <c r="L2344" s="4">
        <v>44179</v>
      </c>
      <c r="M2344" s="132">
        <v>10</v>
      </c>
      <c r="P2344" s="4" t="e">
        <f>VLOOKUP(H2344,Stock_list!A:Y,25,FALSE)</f>
        <v>#N/A</v>
      </c>
      <c r="Q2344" s="143"/>
      <c r="T2344" s="144"/>
      <c r="U2344" s="145" t="e">
        <f>VLOOKUP(H2344,Stock_list!A:N,14,FALSE)</f>
        <v>#N/A</v>
      </c>
    </row>
    <row r="2345" spans="1:21" ht="16.5" customHeight="1">
      <c r="A2345" s="159" t="s">
        <v>266</v>
      </c>
      <c r="B2345" s="114" t="str">
        <f>VLOOKUP(A2345,'Data pick slip'!B:F,5,FALSE)</f>
        <v>KHJ-MC500-00</v>
      </c>
      <c r="F2345" s="157" t="s">
        <v>379</v>
      </c>
      <c r="H2345" s="138">
        <v>850</v>
      </c>
      <c r="I2345" s="139" t="e">
        <f>VLOOKUP(H2345,Stock_list!A:R,18,FALSE)</f>
        <v>#N/A</v>
      </c>
      <c r="J2345" s="139" t="e">
        <f>VLOOKUP(H2345,Stock_list!A:S,17,FALSE)</f>
        <v>#N/A</v>
      </c>
      <c r="K2345" s="51" t="e">
        <f>VLOOKUP(H2345,Stock_list!A:T,16,FALSE)</f>
        <v>#N/A</v>
      </c>
      <c r="L2345" s="4">
        <v>44179</v>
      </c>
      <c r="M2345" s="132">
        <v>5</v>
      </c>
      <c r="P2345" s="4" t="e">
        <f>VLOOKUP(H2345,Stock_list!A:Y,25,FALSE)</f>
        <v>#N/A</v>
      </c>
      <c r="Q2345" s="143"/>
      <c r="T2345" s="144"/>
      <c r="U2345" s="145" t="e">
        <f>VLOOKUP(H2345,Stock_list!A:N,14,FALSE)</f>
        <v>#N/A</v>
      </c>
    </row>
    <row r="2346" spans="1:21" ht="16.5" customHeight="1">
      <c r="A2346" s="159" t="s">
        <v>267</v>
      </c>
      <c r="B2346" s="114" t="str">
        <f>VLOOKUP(A2346,'Data pick slip'!B:F,5,FALSE)</f>
        <v>KHJ-MC600-00</v>
      </c>
      <c r="F2346" s="157" t="s">
        <v>379</v>
      </c>
      <c r="H2346" s="138">
        <v>850</v>
      </c>
      <c r="I2346" s="139" t="e">
        <f>VLOOKUP(H2346,Stock_list!A:R,18,FALSE)</f>
        <v>#N/A</v>
      </c>
      <c r="J2346" s="139" t="e">
        <f>VLOOKUP(H2346,Stock_list!A:S,17,FALSE)</f>
        <v>#N/A</v>
      </c>
      <c r="K2346" s="51" t="e">
        <f>VLOOKUP(H2346,Stock_list!A:T,16,FALSE)</f>
        <v>#N/A</v>
      </c>
      <c r="L2346" s="4">
        <v>44179</v>
      </c>
      <c r="M2346" s="132">
        <v>5</v>
      </c>
      <c r="P2346" s="4" t="e">
        <f>VLOOKUP(H2346,Stock_list!A:Y,25,FALSE)</f>
        <v>#N/A</v>
      </c>
      <c r="Q2346" s="143"/>
      <c r="T2346" s="144"/>
      <c r="U2346" s="145" t="e">
        <f>VLOOKUP(H2346,Stock_list!A:N,14,FALSE)</f>
        <v>#N/A</v>
      </c>
    </row>
    <row r="2347" spans="1:21" ht="16.5" customHeight="1">
      <c r="A2347" s="159" t="s">
        <v>268</v>
      </c>
      <c r="B2347" s="114" t="str">
        <f>VLOOKUP(A2347,'Data pick slip'!B:F,5,FALSE)</f>
        <v>KHJ-MC700-00</v>
      </c>
      <c r="F2347" s="157" t="s">
        <v>290</v>
      </c>
      <c r="H2347" s="138">
        <v>850</v>
      </c>
      <c r="I2347" s="139" t="e">
        <f>VLOOKUP(H2347,Stock_list!A:R,18,FALSE)</f>
        <v>#N/A</v>
      </c>
      <c r="J2347" s="139" t="e">
        <f>VLOOKUP(H2347,Stock_list!A:S,17,FALSE)</f>
        <v>#N/A</v>
      </c>
      <c r="K2347" s="51" t="e">
        <f>VLOOKUP(H2347,Stock_list!A:T,16,FALSE)</f>
        <v>#N/A</v>
      </c>
      <c r="L2347" s="4">
        <v>44179</v>
      </c>
      <c r="M2347" s="132">
        <v>2</v>
      </c>
      <c r="P2347" s="4" t="e">
        <f>VLOOKUP(H2347,Stock_list!A:Y,25,FALSE)</f>
        <v>#N/A</v>
      </c>
      <c r="Q2347" s="143"/>
      <c r="S2347" s="123" t="s">
        <v>521</v>
      </c>
      <c r="T2347" s="144" t="s">
        <v>872</v>
      </c>
      <c r="U2347" s="145" t="e">
        <f>VLOOKUP(H2347,Stock_list!A:N,14,FALSE)</f>
        <v>#N/A</v>
      </c>
    </row>
    <row r="2348" spans="1:21" ht="16.5" customHeight="1">
      <c r="A2348" s="159" t="s">
        <v>261</v>
      </c>
      <c r="B2348" s="114" t="str">
        <f>VLOOKUP(A2348,'Data pick slip'!B:F,5,FALSE)</f>
        <v>KHJ-MC100-00</v>
      </c>
      <c r="F2348" s="157" t="s">
        <v>290</v>
      </c>
      <c r="H2348" s="138">
        <v>852</v>
      </c>
      <c r="I2348" s="139" t="e">
        <f>VLOOKUP(H2348,Stock_list!A:R,18,FALSE)</f>
        <v>#N/A</v>
      </c>
      <c r="J2348" s="139" t="e">
        <f>VLOOKUP(H2348,Stock_list!A:S,17,FALSE)</f>
        <v>#N/A</v>
      </c>
      <c r="K2348" s="51" t="e">
        <f>VLOOKUP(H2348,Stock_list!A:T,16,FALSE)</f>
        <v>#N/A</v>
      </c>
      <c r="L2348" s="4">
        <v>44128</v>
      </c>
      <c r="M2348" s="132">
        <v>50</v>
      </c>
      <c r="P2348" s="4" t="e">
        <f>VLOOKUP(H2348,Stock_list!A:Y,25,FALSE)</f>
        <v>#N/A</v>
      </c>
      <c r="Q2348" s="143"/>
      <c r="T2348" s="144"/>
      <c r="U2348" s="145" t="e">
        <f>VLOOKUP(H2348,Stock_list!A:N,14,FALSE)</f>
        <v>#N/A</v>
      </c>
    </row>
    <row r="2349" spans="1:21" ht="16.5" customHeight="1">
      <c r="A2349" s="159" t="s">
        <v>261</v>
      </c>
      <c r="B2349" s="114" t="str">
        <f>VLOOKUP(A2349,'Data pick slip'!B:F,5,FALSE)</f>
        <v>KHJ-MC100-00</v>
      </c>
      <c r="F2349" s="157" t="s">
        <v>227</v>
      </c>
      <c r="H2349" s="138">
        <v>853</v>
      </c>
      <c r="I2349" s="139" t="e">
        <f>VLOOKUP(H2349,Stock_list!A:R,18,FALSE)</f>
        <v>#N/A</v>
      </c>
      <c r="J2349" s="139" t="e">
        <f>VLOOKUP(H2349,Stock_list!A:S,17,FALSE)</f>
        <v>#N/A</v>
      </c>
      <c r="K2349" s="51" t="e">
        <f>VLOOKUP(H2349,Stock_list!A:T,16,FALSE)</f>
        <v>#N/A</v>
      </c>
      <c r="L2349" s="4">
        <v>44382</v>
      </c>
      <c r="M2349" s="140">
        <v>50</v>
      </c>
      <c r="P2349" s="4" t="e">
        <f>VLOOKUP(H2349,Stock_list!A:Y,25,FALSE)</f>
        <v>#N/A</v>
      </c>
      <c r="Q2349" s="143"/>
      <c r="T2349" s="144"/>
      <c r="U2349" s="145" t="e">
        <f>VLOOKUP(H2349,Stock_list!A:N,14,FALSE)</f>
        <v>#N/A</v>
      </c>
    </row>
    <row r="2350" spans="1:21" ht="16.5" customHeight="1">
      <c r="A2350" s="159" t="s">
        <v>264</v>
      </c>
      <c r="B2350" s="114" t="str">
        <f>VLOOKUP(A2350,'Data pick slip'!B:F,5,FALSE)</f>
        <v>KHJ-MC200-00</v>
      </c>
      <c r="F2350" s="157" t="s">
        <v>227</v>
      </c>
      <c r="H2350" s="138">
        <v>853</v>
      </c>
      <c r="I2350" s="139" t="e">
        <f>VLOOKUP(H2350,Stock_list!A:R,18,FALSE)</f>
        <v>#N/A</v>
      </c>
      <c r="J2350" s="139" t="e">
        <f>VLOOKUP(H2350,Stock_list!A:S,17,FALSE)</f>
        <v>#N/A</v>
      </c>
      <c r="K2350" s="51" t="e">
        <f>VLOOKUP(H2350,Stock_list!A:T,16,FALSE)</f>
        <v>#N/A</v>
      </c>
      <c r="L2350" s="4">
        <v>44382</v>
      </c>
      <c r="M2350" s="140">
        <v>30</v>
      </c>
      <c r="P2350" s="4" t="e">
        <f>VLOOKUP(H2350,Stock_list!A:Y,25,FALSE)</f>
        <v>#N/A</v>
      </c>
      <c r="Q2350" s="143"/>
      <c r="T2350" s="144"/>
      <c r="U2350" s="145" t="e">
        <f>VLOOKUP(H2350,Stock_list!A:N,14,FALSE)</f>
        <v>#N/A</v>
      </c>
    </row>
    <row r="2351" spans="1:21" ht="16.5" customHeight="1">
      <c r="A2351" s="159" t="s">
        <v>265</v>
      </c>
      <c r="B2351" s="114" t="str">
        <f>VLOOKUP(A2351,'Data pick slip'!B:F,5,FALSE)</f>
        <v>KHJ-MC400-00</v>
      </c>
      <c r="F2351" s="157" t="s">
        <v>227</v>
      </c>
      <c r="H2351" s="138">
        <v>853</v>
      </c>
      <c r="I2351" s="286" t="e">
        <f>VLOOKUP(H2351,Stock_list!A:R,18,FALSE)</f>
        <v>#N/A</v>
      </c>
      <c r="J2351" s="286" t="e">
        <f>VLOOKUP(H2351,Stock_list!A:S,17,FALSE)</f>
        <v>#N/A</v>
      </c>
      <c r="K2351" s="259" t="e">
        <f>VLOOKUP(H2351,Stock_list!A:T,16,FALSE)</f>
        <v>#N/A</v>
      </c>
      <c r="L2351" s="287">
        <v>44382</v>
      </c>
      <c r="M2351" s="290">
        <v>8</v>
      </c>
      <c r="P2351" s="4" t="e">
        <f>VLOOKUP(H2351,Stock_list!A:Y,25,FALSE)</f>
        <v>#N/A</v>
      </c>
      <c r="Q2351" s="143"/>
      <c r="T2351" s="144"/>
      <c r="U2351" s="145" t="e">
        <f>VLOOKUP(H2351,Stock_list!A:N,14,FALSE)</f>
        <v>#N/A</v>
      </c>
    </row>
    <row r="2352" spans="1:21" ht="16.5" customHeight="1">
      <c r="A2352" s="159" t="s">
        <v>266</v>
      </c>
      <c r="B2352" s="114" t="str">
        <f>VLOOKUP(A2352,'Data pick slip'!B:F,5,FALSE)</f>
        <v>KHJ-MC500-00</v>
      </c>
      <c r="F2352" s="157" t="s">
        <v>227</v>
      </c>
      <c r="H2352" s="138">
        <v>853</v>
      </c>
      <c r="I2352" s="139" t="e">
        <f>VLOOKUP(H2352,Stock_list!A:R,18,FALSE)</f>
        <v>#N/A</v>
      </c>
      <c r="J2352" s="139" t="e">
        <f>VLOOKUP(H2352,Stock_list!A:S,17,FALSE)</f>
        <v>#N/A</v>
      </c>
      <c r="K2352" s="51" t="e">
        <f>VLOOKUP(H2352,Stock_list!A:T,16,FALSE)</f>
        <v>#N/A</v>
      </c>
      <c r="L2352" s="4">
        <v>44382</v>
      </c>
      <c r="M2352" s="140">
        <v>4</v>
      </c>
      <c r="P2352" s="4" t="e">
        <f>VLOOKUP(H2352,Stock_list!A:Y,25,FALSE)</f>
        <v>#N/A</v>
      </c>
      <c r="Q2352" s="143"/>
      <c r="T2352" s="144"/>
      <c r="U2352" s="145" t="e">
        <f>VLOOKUP(H2352,Stock_list!A:N,14,FALSE)</f>
        <v>#N/A</v>
      </c>
    </row>
    <row r="2353" spans="1:21" ht="16.5" customHeight="1">
      <c r="A2353" s="159" t="s">
        <v>261</v>
      </c>
      <c r="B2353" s="114" t="str">
        <f>VLOOKUP(A2353,'Data pick slip'!B:F,5,FALSE)</f>
        <v>KHJ-MC100-00</v>
      </c>
      <c r="F2353" s="157" t="s">
        <v>227</v>
      </c>
      <c r="H2353" s="138">
        <v>853</v>
      </c>
      <c r="I2353" s="139" t="e">
        <f>VLOOKUP(H2353,Stock_list!A:R,18,FALSE)</f>
        <v>#N/A</v>
      </c>
      <c r="J2353" s="139" t="e">
        <f>VLOOKUP(H2353,Stock_list!A:S,17,FALSE)</f>
        <v>#N/A</v>
      </c>
      <c r="K2353" s="51" t="e">
        <f>VLOOKUP(H2353,Stock_list!A:T,16,FALSE)</f>
        <v>#N/A</v>
      </c>
      <c r="L2353" s="4">
        <v>44407</v>
      </c>
      <c r="M2353" s="132">
        <f>70-50</f>
        <v>20</v>
      </c>
      <c r="P2353" s="4" t="e">
        <f>VLOOKUP(H2353,Stock_list!A:Y,25,FALSE)</f>
        <v>#N/A</v>
      </c>
      <c r="Q2353" s="143"/>
      <c r="T2353" s="144"/>
      <c r="U2353" s="145" t="e">
        <f>VLOOKUP(H2353,Stock_list!A:N,14,FALSE)</f>
        <v>#N/A</v>
      </c>
    </row>
    <row r="2354" spans="1:21" ht="16.5" customHeight="1">
      <c r="A2354" s="159" t="s">
        <v>264</v>
      </c>
      <c r="B2354" s="114" t="str">
        <f>VLOOKUP(A2354,'Data pick slip'!B:F,5,FALSE)</f>
        <v>KHJ-MC200-00</v>
      </c>
      <c r="F2354" s="157" t="s">
        <v>227</v>
      </c>
      <c r="H2354" s="138">
        <v>853</v>
      </c>
      <c r="I2354" s="139" t="e">
        <f>VLOOKUP(H2354,Stock_list!A:R,18,FALSE)</f>
        <v>#N/A</v>
      </c>
      <c r="J2354" s="139" t="e">
        <f>VLOOKUP(H2354,Stock_list!A:S,17,FALSE)</f>
        <v>#N/A</v>
      </c>
      <c r="K2354" s="51" t="e">
        <f>VLOOKUP(H2354,Stock_list!A:T,16,FALSE)</f>
        <v>#N/A</v>
      </c>
      <c r="L2354" s="4">
        <v>44407</v>
      </c>
      <c r="M2354" s="132">
        <f>40-30</f>
        <v>10</v>
      </c>
      <c r="P2354" s="4" t="e">
        <f>VLOOKUP(H2354,Stock_list!A:Y,25,FALSE)</f>
        <v>#N/A</v>
      </c>
      <c r="Q2354" s="143"/>
      <c r="T2354" s="144"/>
      <c r="U2354" s="145" t="e">
        <f>VLOOKUP(H2354,Stock_list!A:N,14,FALSE)</f>
        <v>#N/A</v>
      </c>
    </row>
    <row r="2355" spans="1:21" ht="16.5" customHeight="1">
      <c r="A2355" s="159" t="s">
        <v>265</v>
      </c>
      <c r="B2355" s="114" t="str">
        <f>VLOOKUP(A2355,'Data pick slip'!B:F,5,FALSE)</f>
        <v>KHJ-MC400-00</v>
      </c>
      <c r="F2355" s="157" t="s">
        <v>227</v>
      </c>
      <c r="H2355" s="138">
        <v>853</v>
      </c>
      <c r="I2355" s="286" t="e">
        <f>VLOOKUP(H2355,Stock_list!A:R,18,FALSE)</f>
        <v>#N/A</v>
      </c>
      <c r="J2355" s="286" t="e">
        <f>VLOOKUP(H2355,Stock_list!A:S,17,FALSE)</f>
        <v>#N/A</v>
      </c>
      <c r="K2355" s="259" t="e">
        <f>VLOOKUP(H2355,Stock_list!A:T,16,FALSE)</f>
        <v>#N/A</v>
      </c>
      <c r="L2355" s="287">
        <v>44407</v>
      </c>
      <c r="M2355" s="284">
        <f>10-8</f>
        <v>2</v>
      </c>
      <c r="P2355" s="4" t="e">
        <f>VLOOKUP(H2355,Stock_list!A:Y,25,FALSE)</f>
        <v>#N/A</v>
      </c>
      <c r="Q2355" s="143"/>
      <c r="T2355" s="144"/>
      <c r="U2355" s="145" t="e">
        <f>VLOOKUP(H2355,Stock_list!A:N,14,FALSE)</f>
        <v>#N/A</v>
      </c>
    </row>
    <row r="2356" spans="1:21" ht="16.5" customHeight="1">
      <c r="A2356" s="159" t="s">
        <v>266</v>
      </c>
      <c r="B2356" s="114" t="str">
        <f>VLOOKUP(A2356,'Data pick slip'!B:F,5,FALSE)</f>
        <v>KHJ-MC500-00</v>
      </c>
      <c r="F2356" s="157" t="s">
        <v>227</v>
      </c>
      <c r="H2356" s="138">
        <v>853</v>
      </c>
      <c r="I2356" s="139" t="e">
        <f>VLOOKUP(H2356,Stock_list!A:R,18,FALSE)</f>
        <v>#N/A</v>
      </c>
      <c r="J2356" s="139" t="e">
        <f>VLOOKUP(H2356,Stock_list!A:S,17,FALSE)</f>
        <v>#N/A</v>
      </c>
      <c r="K2356" s="51" t="e">
        <f>VLOOKUP(H2356,Stock_list!A:T,16,FALSE)</f>
        <v>#N/A</v>
      </c>
      <c r="L2356" s="4">
        <v>44407</v>
      </c>
      <c r="M2356" s="132">
        <f>5-4</f>
        <v>1</v>
      </c>
      <c r="P2356" s="4" t="e">
        <f>VLOOKUP(H2356,Stock_list!A:Y,25,FALSE)</f>
        <v>#N/A</v>
      </c>
      <c r="Q2356" s="143"/>
      <c r="T2356" s="144"/>
      <c r="U2356" s="145" t="e">
        <f>VLOOKUP(H2356,Stock_list!A:N,14,FALSE)</f>
        <v>#N/A</v>
      </c>
    </row>
    <row r="2357" spans="1:21" ht="16.5" customHeight="1">
      <c r="A2357" s="159" t="s">
        <v>261</v>
      </c>
      <c r="B2357" s="114" t="str">
        <f>VLOOKUP(A2357,'Data pick slip'!B:F,5,FALSE)</f>
        <v>KHJ-MC100-00</v>
      </c>
      <c r="F2357" s="157" t="s">
        <v>290</v>
      </c>
      <c r="H2357" s="138">
        <v>857</v>
      </c>
      <c r="I2357" s="139" t="e">
        <f>VLOOKUP(H2357,Stock_list!A:R,18,FALSE)</f>
        <v>#N/A</v>
      </c>
      <c r="J2357" s="139" t="e">
        <f>VLOOKUP(H2357,Stock_list!A:S,17,FALSE)</f>
        <v>#N/A</v>
      </c>
      <c r="K2357" s="51" t="e">
        <f>VLOOKUP(H2357,Stock_list!A:T,16,FALSE)</f>
        <v>#N/A</v>
      </c>
      <c r="L2357" s="4">
        <v>44134</v>
      </c>
      <c r="O2357" s="132">
        <f>30-30</f>
        <v>0</v>
      </c>
      <c r="P2357" s="4" t="e">
        <f>VLOOKUP(H2357,Stock_list!A:Y,25,FALSE)</f>
        <v>#N/A</v>
      </c>
      <c r="Q2357" s="143"/>
      <c r="T2357" s="144"/>
      <c r="U2357" s="145" t="e">
        <f>VLOOKUP(H2357,Stock_list!A:N,14,FALSE)</f>
        <v>#N/A</v>
      </c>
    </row>
    <row r="2358" spans="1:21" ht="16.5" customHeight="1">
      <c r="A2358" s="159" t="s">
        <v>264</v>
      </c>
      <c r="B2358" s="114" t="str">
        <f>VLOOKUP(A2358,'Data pick slip'!B:F,5,FALSE)</f>
        <v>KHJ-MC200-00</v>
      </c>
      <c r="F2358" s="157" t="s">
        <v>290</v>
      </c>
      <c r="H2358" s="138">
        <v>857</v>
      </c>
      <c r="I2358" s="139" t="e">
        <f>VLOOKUP(H2358,Stock_list!A:R,18,FALSE)</f>
        <v>#N/A</v>
      </c>
      <c r="J2358" s="139" t="e">
        <f>VLOOKUP(H2358,Stock_list!A:S,17,FALSE)</f>
        <v>#N/A</v>
      </c>
      <c r="K2358" s="51" t="e">
        <f>VLOOKUP(H2358,Stock_list!A:T,16,FALSE)</f>
        <v>#N/A</v>
      </c>
      <c r="L2358" s="4">
        <v>44139</v>
      </c>
      <c r="O2358" s="132">
        <f>6-6</f>
        <v>0</v>
      </c>
      <c r="P2358" s="4" t="e">
        <f>VLOOKUP(H2358,Stock_list!A:Y,25,FALSE)</f>
        <v>#N/A</v>
      </c>
      <c r="Q2358" s="143"/>
      <c r="T2358" s="144"/>
      <c r="U2358" s="145" t="e">
        <f>VLOOKUP(H2358,Stock_list!A:N,14,FALSE)</f>
        <v>#N/A</v>
      </c>
    </row>
    <row r="2359" spans="1:21" ht="16.5" customHeight="1">
      <c r="A2359" s="159" t="s">
        <v>261</v>
      </c>
      <c r="B2359" s="114" t="str">
        <f>VLOOKUP(A2359,'Data pick slip'!B:F,5,FALSE)</f>
        <v>KHJ-MC100-00</v>
      </c>
      <c r="F2359" s="157" t="s">
        <v>379</v>
      </c>
      <c r="H2359" s="138">
        <v>857</v>
      </c>
      <c r="I2359" s="139" t="e">
        <f>VLOOKUP(H2359,Stock_list!A:R,18,FALSE)</f>
        <v>#N/A</v>
      </c>
      <c r="J2359" s="139" t="e">
        <f>VLOOKUP(H2359,Stock_list!A:S,17,FALSE)</f>
        <v>#N/A</v>
      </c>
      <c r="K2359" s="51" t="e">
        <f>VLOOKUP(H2359,Stock_list!A:T,16,FALSE)</f>
        <v>#N/A</v>
      </c>
      <c r="L2359" s="4">
        <v>44196</v>
      </c>
      <c r="M2359" s="140">
        <v>32</v>
      </c>
      <c r="P2359" s="4" t="e">
        <f>VLOOKUP(H2359,Stock_list!A:Y,25,FALSE)</f>
        <v>#N/A</v>
      </c>
      <c r="Q2359" s="143"/>
      <c r="T2359" s="144"/>
      <c r="U2359" s="145" t="e">
        <f>VLOOKUP(H2359,Stock_list!A:N,14,FALSE)</f>
        <v>#N/A</v>
      </c>
    </row>
    <row r="2360" spans="1:21" ht="16.5" customHeight="1">
      <c r="A2360" s="159" t="s">
        <v>264</v>
      </c>
      <c r="B2360" s="114" t="str">
        <f>VLOOKUP(A2360,'Data pick slip'!B:F,5,FALSE)</f>
        <v>KHJ-MC200-00</v>
      </c>
      <c r="F2360" s="157" t="s">
        <v>379</v>
      </c>
      <c r="H2360" s="138">
        <v>857</v>
      </c>
      <c r="I2360" s="139" t="e">
        <f>VLOOKUP(H2360,Stock_list!A:R,18,FALSE)</f>
        <v>#N/A</v>
      </c>
      <c r="J2360" s="139" t="e">
        <f>VLOOKUP(H2360,Stock_list!A:S,17,FALSE)</f>
        <v>#N/A</v>
      </c>
      <c r="K2360" s="51" t="e">
        <f>VLOOKUP(H2360,Stock_list!A:T,16,FALSE)</f>
        <v>#N/A</v>
      </c>
      <c r="L2360" s="4">
        <v>44196</v>
      </c>
      <c r="M2360" s="140">
        <v>6</v>
      </c>
      <c r="P2360" s="4" t="e">
        <f>VLOOKUP(H2360,Stock_list!A:Y,25,FALSE)</f>
        <v>#N/A</v>
      </c>
      <c r="Q2360" s="143"/>
      <c r="T2360" s="144"/>
      <c r="U2360" s="145" t="e">
        <f>VLOOKUP(H2360,Stock_list!A:N,14,FALSE)</f>
        <v>#N/A</v>
      </c>
    </row>
    <row r="2361" spans="1:21" ht="16.5" customHeight="1">
      <c r="A2361" s="159" t="s">
        <v>261</v>
      </c>
      <c r="B2361" s="114" t="str">
        <f>VLOOKUP(A2361,'Data pick slip'!B:F,5,FALSE)</f>
        <v>KHJ-MC100-00</v>
      </c>
      <c r="F2361" s="157" t="s">
        <v>379</v>
      </c>
      <c r="I2361" s="139" t="s">
        <v>533</v>
      </c>
      <c r="J2361" s="139" t="s">
        <v>873</v>
      </c>
      <c r="K2361" s="51" t="s">
        <v>225</v>
      </c>
      <c r="L2361" s="4">
        <v>44102</v>
      </c>
      <c r="M2361" s="140">
        <v>100</v>
      </c>
      <c r="P2361" s="4" t="s">
        <v>214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264</v>
      </c>
      <c r="B2362" s="114" t="str">
        <f>VLOOKUP(A2362,'Data pick slip'!B:F,5,FALSE)</f>
        <v>KHJ-MC200-00</v>
      </c>
      <c r="F2362" s="157" t="s">
        <v>379</v>
      </c>
      <c r="I2362" s="139" t="s">
        <v>533</v>
      </c>
      <c r="J2362" s="139" t="s">
        <v>873</v>
      </c>
      <c r="K2362" s="51" t="s">
        <v>225</v>
      </c>
      <c r="L2362" s="4">
        <v>44102</v>
      </c>
      <c r="M2362" s="140">
        <v>20</v>
      </c>
      <c r="P2362" s="4" t="s">
        <v>214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265</v>
      </c>
      <c r="B2363" s="114" t="str">
        <f>VLOOKUP(A2363,'Data pick slip'!B:F,5,FALSE)</f>
        <v>KHJ-MC400-00</v>
      </c>
      <c r="F2363" s="157" t="s">
        <v>379</v>
      </c>
      <c r="I2363" s="139" t="s">
        <v>533</v>
      </c>
      <c r="J2363" s="139" t="s">
        <v>873</v>
      </c>
      <c r="K2363" s="51" t="s">
        <v>225</v>
      </c>
      <c r="L2363" s="4">
        <v>44102</v>
      </c>
      <c r="M2363" s="140">
        <v>21</v>
      </c>
      <c r="P2363" s="4" t="s">
        <v>214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266</v>
      </c>
      <c r="B2364" s="114" t="str">
        <f>VLOOKUP(A2364,'Data pick slip'!B:F,5,FALSE)</f>
        <v>KHJ-MC500-00</v>
      </c>
      <c r="F2364" s="157" t="s">
        <v>379</v>
      </c>
      <c r="I2364" s="139" t="s">
        <v>533</v>
      </c>
      <c r="J2364" s="139" t="s">
        <v>873</v>
      </c>
      <c r="K2364" s="51" t="s">
        <v>225</v>
      </c>
      <c r="L2364" s="4">
        <v>44102</v>
      </c>
      <c r="M2364" s="140">
        <v>5</v>
      </c>
      <c r="P2364" s="4" t="s">
        <v>214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267</v>
      </c>
      <c r="B2365" s="114" t="str">
        <f>VLOOKUP(A2365,'Data pick slip'!B:F,5,FALSE)</f>
        <v>KHJ-MC600-00</v>
      </c>
      <c r="F2365" s="157" t="s">
        <v>379</v>
      </c>
      <c r="I2365" s="139" t="s">
        <v>533</v>
      </c>
      <c r="J2365" s="139" t="s">
        <v>873</v>
      </c>
      <c r="K2365" s="51" t="s">
        <v>225</v>
      </c>
      <c r="L2365" s="4">
        <v>44102</v>
      </c>
      <c r="M2365" s="140">
        <v>9</v>
      </c>
      <c r="P2365" s="4" t="s">
        <v>214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261</v>
      </c>
      <c r="B2366" s="114" t="str">
        <f>VLOOKUP(A2366,'Data pick slip'!B:F,5,FALSE)</f>
        <v>KHJ-MC100-00</v>
      </c>
      <c r="F2366" s="157" t="s">
        <v>379</v>
      </c>
      <c r="H2366" s="138">
        <v>860</v>
      </c>
      <c r="I2366" s="139" t="e">
        <f>VLOOKUP(H2366,Stock_list!A:R,18,FALSE)</f>
        <v>#N/A</v>
      </c>
      <c r="J2366" s="139" t="e">
        <f>VLOOKUP(H2366,Stock_list!A:S,17,FALSE)</f>
        <v>#N/A</v>
      </c>
      <c r="K2366" s="51" t="e">
        <f>VLOOKUP(H2366,Stock_list!A:T,16,FALSE)</f>
        <v>#N/A</v>
      </c>
      <c r="L2366" s="4">
        <v>44174</v>
      </c>
      <c r="M2366" s="132">
        <v>60</v>
      </c>
      <c r="P2366" s="4" t="e">
        <f>VLOOKUP(H2366,Stock_list!A:Y,25,FALSE)</f>
        <v>#N/A</v>
      </c>
      <c r="Q2366" s="143"/>
      <c r="T2366" s="144"/>
      <c r="U2366" s="145" t="e">
        <f>VLOOKUP(H2366,Stock_list!A:N,14,FALSE)</f>
        <v>#N/A</v>
      </c>
    </row>
    <row r="2367" spans="1:21" ht="16.5" customHeight="1">
      <c r="A2367" s="159" t="s">
        <v>264</v>
      </c>
      <c r="B2367" s="114" t="str">
        <f>VLOOKUP(A2367,'Data pick slip'!B:F,5,FALSE)</f>
        <v>KHJ-MC200-00</v>
      </c>
      <c r="F2367" s="157" t="s">
        <v>379</v>
      </c>
      <c r="H2367" s="138">
        <v>860</v>
      </c>
      <c r="I2367" s="139" t="e">
        <f>VLOOKUP(H2367,Stock_list!A:R,18,FALSE)</f>
        <v>#N/A</v>
      </c>
      <c r="J2367" s="139" t="e">
        <f>VLOOKUP(H2367,Stock_list!A:S,17,FALSE)</f>
        <v>#N/A</v>
      </c>
      <c r="K2367" s="51" t="e">
        <f>VLOOKUP(H2367,Stock_list!A:T,16,FALSE)</f>
        <v>#N/A</v>
      </c>
      <c r="L2367" s="4">
        <v>44174</v>
      </c>
      <c r="M2367" s="132">
        <v>8</v>
      </c>
      <c r="P2367" s="4" t="e">
        <f>VLOOKUP(H2367,Stock_list!A:Y,25,FALSE)</f>
        <v>#N/A</v>
      </c>
      <c r="Q2367" s="143"/>
      <c r="T2367" s="144"/>
      <c r="U2367" s="145" t="e">
        <f>VLOOKUP(H2367,Stock_list!A:N,14,FALSE)</f>
        <v>#N/A</v>
      </c>
    </row>
    <row r="2368" spans="1:21" ht="16.5" customHeight="1">
      <c r="A2368" s="159" t="s">
        <v>265</v>
      </c>
      <c r="B2368" s="114" t="str">
        <f>VLOOKUP(A2368,'Data pick slip'!B:F,5,FALSE)</f>
        <v>KHJ-MC400-00</v>
      </c>
      <c r="F2368" s="157" t="s">
        <v>379</v>
      </c>
      <c r="H2368" s="138">
        <v>860</v>
      </c>
      <c r="I2368" s="139" t="e">
        <f>VLOOKUP(H2368,Stock_list!A:R,18,FALSE)</f>
        <v>#N/A</v>
      </c>
      <c r="J2368" s="139" t="e">
        <f>VLOOKUP(H2368,Stock_list!A:S,17,FALSE)</f>
        <v>#N/A</v>
      </c>
      <c r="K2368" s="51" t="e">
        <f>VLOOKUP(H2368,Stock_list!A:T,16,FALSE)</f>
        <v>#N/A</v>
      </c>
      <c r="L2368" s="4">
        <v>44174</v>
      </c>
      <c r="M2368" s="132">
        <v>4</v>
      </c>
      <c r="P2368" s="4" t="e">
        <f>VLOOKUP(H2368,Stock_list!A:Y,25,FALSE)</f>
        <v>#N/A</v>
      </c>
      <c r="Q2368" s="143"/>
      <c r="T2368" s="144"/>
      <c r="U2368" s="145" t="e">
        <f>VLOOKUP(H2368,Stock_list!A:N,14,FALSE)</f>
        <v>#N/A</v>
      </c>
    </row>
    <row r="2369" spans="1:21" ht="16.5" customHeight="1">
      <c r="A2369" s="159" t="s">
        <v>261</v>
      </c>
      <c r="B2369" s="114" t="str">
        <f>VLOOKUP(A2369,'Data pick slip'!B:F,5,FALSE)</f>
        <v>KHJ-MC100-00</v>
      </c>
      <c r="F2369" s="157" t="s">
        <v>290</v>
      </c>
      <c r="I2369" s="139" t="s">
        <v>617</v>
      </c>
      <c r="J2369" s="139" t="s">
        <v>874</v>
      </c>
      <c r="K2369" s="51" t="s">
        <v>225</v>
      </c>
      <c r="L2369" s="4">
        <v>44101</v>
      </c>
      <c r="M2369" s="140">
        <v>50</v>
      </c>
      <c r="P2369" s="4" t="s">
        <v>214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264</v>
      </c>
      <c r="B2370" s="114" t="str">
        <f>VLOOKUP(A2370,'Data pick slip'!B:F,5,FALSE)</f>
        <v>KHJ-MC200-00</v>
      </c>
      <c r="F2370" s="157" t="s">
        <v>290</v>
      </c>
      <c r="I2370" s="139" t="s">
        <v>617</v>
      </c>
      <c r="J2370" s="139" t="s">
        <v>874</v>
      </c>
      <c r="K2370" s="51" t="s">
        <v>225</v>
      </c>
      <c r="L2370" s="4">
        <v>44101</v>
      </c>
      <c r="M2370" s="140">
        <v>20</v>
      </c>
      <c r="P2370" s="4" t="s">
        <v>214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261</v>
      </c>
      <c r="B2371" s="114" t="str">
        <f>VLOOKUP(A2371,'Data pick slip'!B:F,5,FALSE)</f>
        <v>KHJ-MC100-00</v>
      </c>
      <c r="F2371" s="157" t="s">
        <v>290</v>
      </c>
      <c r="H2371" s="138">
        <v>862</v>
      </c>
      <c r="I2371" s="139" t="e">
        <f>VLOOKUP(H2371,Stock_list!A:R,18,FALSE)</f>
        <v>#N/A</v>
      </c>
      <c r="J2371" s="139" t="e">
        <f>VLOOKUP(H2371,Stock_list!A:S,17,FALSE)</f>
        <v>#N/A</v>
      </c>
      <c r="K2371" s="51" t="e">
        <f>VLOOKUP(H2371,Stock_list!A:T,16,FALSE)</f>
        <v>#N/A</v>
      </c>
      <c r="L2371" s="4">
        <v>44147</v>
      </c>
      <c r="O2371" s="132">
        <f>40-40</f>
        <v>0</v>
      </c>
      <c r="P2371" s="4" t="e">
        <f>VLOOKUP(H2371,Stock_list!A:Y,25,FALSE)</f>
        <v>#N/A</v>
      </c>
      <c r="Q2371" s="143"/>
      <c r="T2371" s="144"/>
      <c r="U2371" s="145" t="e">
        <f>VLOOKUP(H2371,Stock_list!A:N,14,FALSE)</f>
        <v>#N/A</v>
      </c>
    </row>
    <row r="2372" spans="1:21" ht="18" customHeight="1">
      <c r="A2372" s="159" t="s">
        <v>264</v>
      </c>
      <c r="B2372" s="114" t="str">
        <f>VLOOKUP(A2372,'Data pick slip'!B:F,5,FALSE)</f>
        <v>KHJ-MC200-00</v>
      </c>
      <c r="F2372" s="157" t="s">
        <v>290</v>
      </c>
      <c r="H2372" s="138">
        <v>862</v>
      </c>
      <c r="I2372" s="139" t="e">
        <f>VLOOKUP(H2372,Stock_list!A:R,18,FALSE)</f>
        <v>#N/A</v>
      </c>
      <c r="J2372" s="139" t="e">
        <f>VLOOKUP(H2372,Stock_list!A:S,17,FALSE)</f>
        <v>#N/A</v>
      </c>
      <c r="K2372" s="51" t="e">
        <f>VLOOKUP(H2372,Stock_list!A:T,16,FALSE)</f>
        <v>#N/A</v>
      </c>
      <c r="L2372" s="4">
        <v>44147</v>
      </c>
      <c r="O2372" s="132">
        <f>5-5</f>
        <v>0</v>
      </c>
      <c r="P2372" s="4" t="e">
        <f>VLOOKUP(H2372,Stock_list!A:Y,25,FALSE)</f>
        <v>#N/A</v>
      </c>
      <c r="Q2372" s="143"/>
      <c r="T2372" s="144"/>
      <c r="U2372" s="145" t="e">
        <f>VLOOKUP(H2372,Stock_list!A:N,14,FALSE)</f>
        <v>#N/A</v>
      </c>
    </row>
    <row r="2373" spans="1:21" ht="18" customHeight="1">
      <c r="A2373" s="159" t="s">
        <v>261</v>
      </c>
      <c r="B2373" s="114" t="str">
        <f>VLOOKUP(A2373,'Data pick slip'!B:F,5,FALSE)</f>
        <v>KHJ-MC100-00</v>
      </c>
      <c r="F2373" s="157" t="s">
        <v>379</v>
      </c>
      <c r="H2373" s="138">
        <v>862</v>
      </c>
      <c r="I2373" s="139" t="e">
        <f>VLOOKUP(H2373,Stock_list!A:R,18,FALSE)</f>
        <v>#N/A</v>
      </c>
      <c r="J2373" s="139" t="e">
        <f>VLOOKUP(H2373,Stock_list!A:S,17,FALSE)</f>
        <v>#N/A</v>
      </c>
      <c r="K2373" s="51" t="e">
        <f>VLOOKUP(H2373,Stock_list!A:T,16,FALSE)</f>
        <v>#N/A</v>
      </c>
      <c r="L2373" s="4">
        <v>44160</v>
      </c>
      <c r="M2373" s="140">
        <v>40</v>
      </c>
      <c r="P2373" s="4" t="e">
        <f>VLOOKUP(H2373,Stock_list!A:Y,25,FALSE)</f>
        <v>#N/A</v>
      </c>
      <c r="Q2373" s="143"/>
      <c r="T2373" s="144"/>
      <c r="U2373" s="145" t="e">
        <f>VLOOKUP(H2373,Stock_list!A:N,14,FALSE)</f>
        <v>#N/A</v>
      </c>
    </row>
    <row r="2374" spans="1:21" ht="18" customHeight="1">
      <c r="A2374" s="159" t="s">
        <v>264</v>
      </c>
      <c r="B2374" s="114" t="str">
        <f>VLOOKUP(A2374,'Data pick slip'!B:F,5,FALSE)</f>
        <v>KHJ-MC200-00</v>
      </c>
      <c r="F2374" s="157" t="s">
        <v>379</v>
      </c>
      <c r="H2374" s="138">
        <v>862</v>
      </c>
      <c r="I2374" s="139" t="e">
        <f>VLOOKUP(H2374,Stock_list!A:R,18,FALSE)</f>
        <v>#N/A</v>
      </c>
      <c r="J2374" s="139" t="e">
        <f>VLOOKUP(H2374,Stock_list!A:S,17,FALSE)</f>
        <v>#N/A</v>
      </c>
      <c r="K2374" s="51" t="e">
        <f>VLOOKUP(H2374,Stock_list!A:T,16,FALSE)</f>
        <v>#N/A</v>
      </c>
      <c r="L2374" s="4">
        <v>44160</v>
      </c>
      <c r="M2374" s="140">
        <v>5</v>
      </c>
      <c r="P2374" s="4" t="e">
        <f>VLOOKUP(H2374,Stock_list!A:Y,25,FALSE)</f>
        <v>#N/A</v>
      </c>
      <c r="Q2374" s="143"/>
      <c r="T2374" s="144"/>
      <c r="U2374" s="145" t="e">
        <f>VLOOKUP(H2374,Stock_list!A:N,14,FALSE)</f>
        <v>#N/A</v>
      </c>
    </row>
    <row r="2375" spans="1:21" ht="16.5" customHeight="1">
      <c r="A2375" s="159" t="s">
        <v>272</v>
      </c>
      <c r="B2375" s="114" t="str">
        <f>VLOOKUP(A2375,'Data pick slip'!B:F,5,FALSE)</f>
        <v>KLJ-MC100-00</v>
      </c>
      <c r="F2375" s="157" t="s">
        <v>379</v>
      </c>
      <c r="H2375" s="138">
        <v>863</v>
      </c>
      <c r="I2375" s="139" t="e">
        <f>VLOOKUP(H2375,Stock_list!A:R,18,FALSE)</f>
        <v>#N/A</v>
      </c>
      <c r="J2375" s="139" t="e">
        <f>VLOOKUP(H2375,Stock_list!A:S,17,FALSE)</f>
        <v>#N/A</v>
      </c>
      <c r="K2375" s="51" t="e">
        <f>VLOOKUP(H2375,Stock_list!A:T,16,FALSE)</f>
        <v>#N/A</v>
      </c>
      <c r="L2375" s="4">
        <v>44189</v>
      </c>
      <c r="M2375" s="140">
        <v>100</v>
      </c>
      <c r="P2375" s="4" t="e">
        <f>VLOOKUP(H2375,Stock_list!A:Y,25,FALSE)</f>
        <v>#N/A</v>
      </c>
      <c r="Q2375" s="143"/>
      <c r="T2375" s="144"/>
      <c r="U2375" s="145" t="e">
        <f>VLOOKUP(H2375,Stock_list!A:N,14,FALSE)</f>
        <v>#N/A</v>
      </c>
    </row>
    <row r="2376" spans="1:21" ht="16.5" customHeight="1">
      <c r="A2376" s="159" t="s">
        <v>273</v>
      </c>
      <c r="B2376" s="114" t="str">
        <f>VLOOKUP(A2376,'Data pick slip'!B:F,5,FALSE)</f>
        <v>KLJ-MC200-00</v>
      </c>
      <c r="F2376" s="157" t="s">
        <v>379</v>
      </c>
      <c r="H2376" s="138">
        <v>863</v>
      </c>
      <c r="I2376" s="139" t="e">
        <f>VLOOKUP(H2376,Stock_list!A:R,18,FALSE)</f>
        <v>#N/A</v>
      </c>
      <c r="J2376" s="139" t="e">
        <f>VLOOKUP(H2376,Stock_list!A:S,17,FALSE)</f>
        <v>#N/A</v>
      </c>
      <c r="K2376" s="51" t="e">
        <f>VLOOKUP(H2376,Stock_list!A:T,16,FALSE)</f>
        <v>#N/A</v>
      </c>
      <c r="L2376" s="4">
        <v>44189</v>
      </c>
      <c r="M2376" s="140">
        <v>10</v>
      </c>
      <c r="P2376" s="4" t="e">
        <f>VLOOKUP(H2376,Stock_list!A:Y,25,FALSE)</f>
        <v>#N/A</v>
      </c>
      <c r="T2376" s="144"/>
      <c r="U2376" s="145" t="e">
        <f>VLOOKUP(H2376,Stock_list!A:N,14,FALSE)</f>
        <v>#N/A</v>
      </c>
    </row>
    <row r="2377" spans="1:21" ht="16.5" customHeight="1">
      <c r="A2377" s="159" t="s">
        <v>272</v>
      </c>
      <c r="B2377" s="114" t="str">
        <f>VLOOKUP(A2377,'Data pick slip'!B:F,5,FALSE)</f>
        <v>KLJ-MC100-00</v>
      </c>
      <c r="F2377" s="157" t="s">
        <v>290</v>
      </c>
      <c r="H2377" s="138">
        <v>865</v>
      </c>
      <c r="I2377" s="139" t="e">
        <f>VLOOKUP(H2377,Stock_list!A:R,18,FALSE)</f>
        <v>#N/A</v>
      </c>
      <c r="J2377" s="139" t="e">
        <f>VLOOKUP(H2377,Stock_list!A:S,17,FALSE)</f>
        <v>#N/A</v>
      </c>
      <c r="K2377" s="51" t="e">
        <f>VLOOKUP(H2377,Stock_list!A:T,16,FALSE)</f>
        <v>#N/A</v>
      </c>
      <c r="L2377" s="4">
        <v>44141</v>
      </c>
      <c r="M2377" s="140">
        <v>10</v>
      </c>
      <c r="P2377" s="4" t="e">
        <f>VLOOKUP(H2377,Stock_list!A:Y,25,FALSE)</f>
        <v>#N/A</v>
      </c>
      <c r="Q2377" s="143"/>
      <c r="T2377" s="144"/>
      <c r="U2377" s="145" t="e">
        <f>VLOOKUP(H2377,Stock_list!A:N,14,FALSE)</f>
        <v>#N/A</v>
      </c>
    </row>
    <row r="2378" spans="1:21" ht="16.5" customHeight="1">
      <c r="A2378" s="159" t="s">
        <v>272</v>
      </c>
      <c r="B2378" s="114" t="str">
        <f>VLOOKUP(A2378,'Data pick slip'!B:F,5,FALSE)</f>
        <v>KLJ-MC100-00</v>
      </c>
      <c r="F2378" s="157" t="s">
        <v>290</v>
      </c>
      <c r="H2378" s="138">
        <v>865</v>
      </c>
      <c r="I2378" s="139" t="e">
        <f>VLOOKUP(H2378,Stock_list!A:R,18,FALSE)</f>
        <v>#N/A</v>
      </c>
      <c r="J2378" s="139" t="e">
        <f>VLOOKUP(H2378,Stock_list!A:S,17,FALSE)</f>
        <v>#N/A</v>
      </c>
      <c r="K2378" s="51" t="e">
        <f>VLOOKUP(H2378,Stock_list!A:T,16,FALSE)</f>
        <v>#N/A</v>
      </c>
      <c r="L2378" s="4">
        <v>44153</v>
      </c>
      <c r="M2378" s="140">
        <v>10</v>
      </c>
      <c r="P2378" s="4" t="e">
        <f>VLOOKUP(H2378,Stock_list!A:Y,25,FALSE)</f>
        <v>#N/A</v>
      </c>
      <c r="Q2378" s="143"/>
      <c r="T2378" s="144"/>
      <c r="U2378" s="145" t="e">
        <f>VLOOKUP(H2378,Stock_list!A:N,14,FALSE)</f>
        <v>#N/A</v>
      </c>
    </row>
    <row r="2379" spans="1:21" ht="16.5" customHeight="1">
      <c r="A2379" s="159" t="s">
        <v>261</v>
      </c>
      <c r="B2379" s="114" t="str">
        <f>VLOOKUP(A2379,'Data pick slip'!B:F,5,FALSE)</f>
        <v>KHJ-MC100-00</v>
      </c>
      <c r="F2379" s="157" t="s">
        <v>379</v>
      </c>
      <c r="H2379" s="138">
        <v>868</v>
      </c>
      <c r="I2379" s="139" t="e">
        <f>VLOOKUP(H2379,Stock_list!A:R,18,FALSE)</f>
        <v>#N/A</v>
      </c>
      <c r="J2379" s="139" t="e">
        <f>VLOOKUP(H2379,Stock_list!A:S,17,FALSE)</f>
        <v>#N/A</v>
      </c>
      <c r="K2379" s="51" t="e">
        <f>VLOOKUP(H2379,Stock_list!A:T,16,FALSE)</f>
        <v>#N/A</v>
      </c>
      <c r="L2379" s="4">
        <v>44183</v>
      </c>
      <c r="M2379" s="132">
        <v>65</v>
      </c>
      <c r="P2379" s="4" t="e">
        <f>VLOOKUP(H2379,Stock_list!A:Y,25,FALSE)</f>
        <v>#N/A</v>
      </c>
      <c r="Q2379" s="143"/>
      <c r="T2379" s="144"/>
      <c r="U2379" s="145" t="e">
        <f>VLOOKUP(H2379,Stock_list!A:N,14,FALSE)</f>
        <v>#N/A</v>
      </c>
    </row>
    <row r="2380" spans="1:21" ht="16.5" customHeight="1">
      <c r="A2380" s="159" t="s">
        <v>264</v>
      </c>
      <c r="B2380" s="114" t="str">
        <f>VLOOKUP(A2380,'Data pick slip'!B:F,5,FALSE)</f>
        <v>KHJ-MC200-00</v>
      </c>
      <c r="F2380" s="157" t="s">
        <v>379</v>
      </c>
      <c r="H2380" s="138">
        <v>868</v>
      </c>
      <c r="I2380" s="139" t="e">
        <f>VLOOKUP(H2380,Stock_list!A:R,18,FALSE)</f>
        <v>#N/A</v>
      </c>
      <c r="J2380" s="139" t="e">
        <f>VLOOKUP(H2380,Stock_list!A:S,17,FALSE)</f>
        <v>#N/A</v>
      </c>
      <c r="K2380" s="51" t="e">
        <f>VLOOKUP(H2380,Stock_list!A:T,16,FALSE)</f>
        <v>#N/A</v>
      </c>
      <c r="L2380" s="4">
        <v>44183</v>
      </c>
      <c r="M2380" s="132">
        <v>13</v>
      </c>
      <c r="P2380" s="4" t="e">
        <f>VLOOKUP(H2380,Stock_list!A:Y,25,FALSE)</f>
        <v>#N/A</v>
      </c>
      <c r="Q2380" s="143"/>
      <c r="T2380" s="144"/>
      <c r="U2380" s="145" t="e">
        <f>VLOOKUP(H2380,Stock_list!A:N,14,FALSE)</f>
        <v>#N/A</v>
      </c>
    </row>
    <row r="2381" spans="1:21" ht="16.5" customHeight="1">
      <c r="A2381" s="159" t="s">
        <v>265</v>
      </c>
      <c r="B2381" s="114" t="str">
        <f>VLOOKUP(A2381,'Data pick slip'!B:F,5,FALSE)</f>
        <v>KHJ-MC400-00</v>
      </c>
      <c r="F2381" s="157" t="s">
        <v>379</v>
      </c>
      <c r="H2381" s="138">
        <v>868</v>
      </c>
      <c r="I2381" s="139" t="e">
        <f>VLOOKUP(H2381,Stock_list!A:R,18,FALSE)</f>
        <v>#N/A</v>
      </c>
      <c r="J2381" s="139" t="e">
        <f>VLOOKUP(H2381,Stock_list!A:S,17,FALSE)</f>
        <v>#N/A</v>
      </c>
      <c r="K2381" s="51" t="e">
        <f>VLOOKUP(H2381,Stock_list!A:T,16,FALSE)</f>
        <v>#N/A</v>
      </c>
      <c r="L2381" s="4">
        <v>44183</v>
      </c>
      <c r="M2381" s="132">
        <v>2</v>
      </c>
      <c r="P2381" s="4" t="e">
        <f>VLOOKUP(H2381,Stock_list!A:Y,25,FALSE)</f>
        <v>#N/A</v>
      </c>
      <c r="Q2381" s="143"/>
      <c r="T2381" s="144"/>
      <c r="U2381" s="145" t="e">
        <f>VLOOKUP(H2381,Stock_list!A:N,14,FALSE)</f>
        <v>#N/A</v>
      </c>
    </row>
    <row r="2382" spans="1:21" ht="16.5" customHeight="1">
      <c r="A2382" s="159" t="s">
        <v>266</v>
      </c>
      <c r="B2382" s="114" t="str">
        <f>VLOOKUP(A2382,'Data pick slip'!B:F,5,FALSE)</f>
        <v>KHJ-MC500-00</v>
      </c>
      <c r="F2382" s="157" t="s">
        <v>379</v>
      </c>
      <c r="H2382" s="138">
        <v>868</v>
      </c>
      <c r="I2382" s="139" t="e">
        <f>VLOOKUP(H2382,Stock_list!A:R,18,FALSE)</f>
        <v>#N/A</v>
      </c>
      <c r="J2382" s="139" t="e">
        <f>VLOOKUP(H2382,Stock_list!A:S,17,FALSE)</f>
        <v>#N/A</v>
      </c>
      <c r="K2382" s="51" t="e">
        <f>VLOOKUP(H2382,Stock_list!A:T,16,FALSE)</f>
        <v>#N/A</v>
      </c>
      <c r="L2382" s="4">
        <v>44183</v>
      </c>
      <c r="M2382" s="132">
        <v>1</v>
      </c>
      <c r="P2382" s="4" t="e">
        <f>VLOOKUP(H2382,Stock_list!A:Y,25,FALSE)</f>
        <v>#N/A</v>
      </c>
      <c r="Q2382" s="143"/>
      <c r="T2382" s="144"/>
      <c r="U2382" s="145" t="e">
        <f>VLOOKUP(H2382,Stock_list!A:N,14,FALSE)</f>
        <v>#N/A</v>
      </c>
    </row>
    <row r="2383" spans="1:21" ht="16.5" customHeight="1">
      <c r="A2383" s="159" t="s">
        <v>261</v>
      </c>
      <c r="B2383" s="114" t="str">
        <f>VLOOKUP(A2383,'Data pick slip'!B:F,5,FALSE)</f>
        <v>KHJ-MC100-00</v>
      </c>
      <c r="F2383" s="157" t="s">
        <v>379</v>
      </c>
      <c r="H2383" s="138">
        <v>715</v>
      </c>
      <c r="I2383" s="139" t="e">
        <f>VLOOKUP(H2383,Stock_list!A:R,18,FALSE)</f>
        <v>#N/A</v>
      </c>
      <c r="J2383" s="139" t="e">
        <f>VLOOKUP(H2383,Stock_list!A:S,17,FALSE)</f>
        <v>#N/A</v>
      </c>
      <c r="K2383" s="51" t="e">
        <f>VLOOKUP(H2383,Stock_list!A:T,16,FALSE)</f>
        <v>#N/A</v>
      </c>
      <c r="L2383" s="4">
        <v>44102</v>
      </c>
      <c r="M2383" s="140">
        <v>50</v>
      </c>
      <c r="P2383" s="4" t="e">
        <f>VLOOKUP(H2383,Stock_list!A:Y,25,FALSE)</f>
        <v>#N/A</v>
      </c>
      <c r="Q2383" s="143"/>
      <c r="T2383" s="144"/>
      <c r="U2383" s="145" t="e">
        <f>VLOOKUP(H2383,Stock_list!A:N,14,FALSE)</f>
        <v>#N/A</v>
      </c>
    </row>
    <row r="2384" spans="1:21" ht="16.5" customHeight="1">
      <c r="A2384" s="159" t="s">
        <v>265</v>
      </c>
      <c r="B2384" s="114" t="str">
        <f>VLOOKUP(A2384,'Data pick slip'!B:F,5,FALSE)</f>
        <v>KHJ-MC400-00</v>
      </c>
      <c r="F2384" s="157" t="s">
        <v>290</v>
      </c>
      <c r="H2384" s="138">
        <v>715</v>
      </c>
      <c r="I2384" s="139" t="e">
        <f>VLOOKUP(H2384,Stock_list!A:R,18,FALSE)</f>
        <v>#N/A</v>
      </c>
      <c r="J2384" s="139" t="e">
        <f>VLOOKUP(H2384,Stock_list!A:S,17,FALSE)</f>
        <v>#N/A</v>
      </c>
      <c r="K2384" s="51" t="e">
        <f>VLOOKUP(H2384,Stock_list!A:T,16,FALSE)</f>
        <v>#N/A</v>
      </c>
      <c r="L2384" s="4">
        <v>44102</v>
      </c>
      <c r="M2384" s="140">
        <v>2</v>
      </c>
      <c r="P2384" s="4" t="e">
        <f>VLOOKUP(H2384,Stock_list!A:Y,25,FALSE)</f>
        <v>#N/A</v>
      </c>
      <c r="Q2384" s="143"/>
      <c r="S2384" s="123" t="s">
        <v>521</v>
      </c>
      <c r="T2384" s="205" t="s">
        <v>827</v>
      </c>
      <c r="U2384" s="145" t="e">
        <f>VLOOKUP(H2384,Stock_list!A:N,14,FALSE)</f>
        <v>#N/A</v>
      </c>
    </row>
    <row r="2385" spans="1:21" ht="16.5" customHeight="1">
      <c r="A2385" s="159" t="s">
        <v>261</v>
      </c>
      <c r="B2385" s="114" t="str">
        <f>VLOOKUP(A2385,'Data pick slip'!B:F,5,FALSE)</f>
        <v>KHJ-MC100-00</v>
      </c>
      <c r="F2385" s="157" t="s">
        <v>379</v>
      </c>
      <c r="H2385" s="138">
        <v>872</v>
      </c>
      <c r="I2385" s="139" t="e">
        <f>VLOOKUP(H2385,Stock_list!A:R,18,FALSE)</f>
        <v>#N/A</v>
      </c>
      <c r="J2385" s="139" t="e">
        <f>VLOOKUP(H2385,Stock_list!A:S,17,FALSE)</f>
        <v>#N/A</v>
      </c>
      <c r="K2385" s="51" t="e">
        <f>VLOOKUP(H2385,Stock_list!A:T,16,FALSE)</f>
        <v>#N/A</v>
      </c>
      <c r="L2385" s="4">
        <v>44231</v>
      </c>
      <c r="M2385" s="132">
        <v>62</v>
      </c>
      <c r="P2385" s="4" t="e">
        <f>VLOOKUP(H2385,Stock_list!A:Y,25,FALSE)</f>
        <v>#N/A</v>
      </c>
      <c r="Q2385" s="143"/>
      <c r="T2385" s="144"/>
      <c r="U2385" s="145" t="e">
        <f>VLOOKUP(H2385,Stock_list!A:N,14,FALSE)</f>
        <v>#N/A</v>
      </c>
    </row>
    <row r="2386" spans="1:21" ht="16.5" customHeight="1">
      <c r="A2386" s="159" t="s">
        <v>264</v>
      </c>
      <c r="B2386" s="114" t="str">
        <f>VLOOKUP(A2386,'Data pick slip'!B:F,5,FALSE)</f>
        <v>KHJ-MC200-00</v>
      </c>
      <c r="F2386" s="157" t="s">
        <v>379</v>
      </c>
      <c r="H2386" s="138">
        <v>872</v>
      </c>
      <c r="I2386" s="139" t="e">
        <f>VLOOKUP(H2386,Stock_list!A:R,18,FALSE)</f>
        <v>#N/A</v>
      </c>
      <c r="J2386" s="139" t="e">
        <f>VLOOKUP(H2386,Stock_list!A:S,17,FALSE)</f>
        <v>#N/A</v>
      </c>
      <c r="K2386" s="51" t="e">
        <f>VLOOKUP(H2386,Stock_list!A:T,16,FALSE)</f>
        <v>#N/A</v>
      </c>
      <c r="L2386" s="4">
        <v>44231</v>
      </c>
      <c r="M2386" s="132">
        <v>2</v>
      </c>
      <c r="P2386" s="4" t="e">
        <f>VLOOKUP(H2386,Stock_list!A:Y,25,FALSE)</f>
        <v>#N/A</v>
      </c>
      <c r="Q2386" s="143"/>
      <c r="T2386" s="144"/>
      <c r="U2386" s="145" t="e">
        <f>VLOOKUP(H2386,Stock_list!A:N,14,FALSE)</f>
        <v>#N/A</v>
      </c>
    </row>
    <row r="2387" spans="1:21" ht="16.5" customHeight="1">
      <c r="A2387" s="159" t="s">
        <v>265</v>
      </c>
      <c r="B2387" s="114" t="str">
        <f>VLOOKUP(A2387,'Data pick slip'!B:F,5,FALSE)</f>
        <v>KHJ-MC400-00</v>
      </c>
      <c r="F2387" s="157" t="s">
        <v>379</v>
      </c>
      <c r="H2387" s="138">
        <v>872</v>
      </c>
      <c r="I2387" s="286" t="e">
        <f>VLOOKUP(H2387,Stock_list!A:R,18,FALSE)</f>
        <v>#N/A</v>
      </c>
      <c r="J2387" s="286" t="e">
        <f>VLOOKUP(H2387,Stock_list!A:S,17,FALSE)</f>
        <v>#N/A</v>
      </c>
      <c r="K2387" s="259" t="e">
        <f>VLOOKUP(H2387,Stock_list!A:T,16,FALSE)</f>
        <v>#N/A</v>
      </c>
      <c r="L2387" s="287">
        <v>44231</v>
      </c>
      <c r="M2387" s="284">
        <v>1</v>
      </c>
      <c r="P2387" s="4" t="e">
        <f>VLOOKUP(H2387,Stock_list!A:Y,25,FALSE)</f>
        <v>#N/A</v>
      </c>
      <c r="Q2387" s="143"/>
      <c r="T2387" s="144"/>
      <c r="U2387" s="145" t="e">
        <f>VLOOKUP(H2387,Stock_list!A:N,14,FALSE)</f>
        <v>#N/A</v>
      </c>
    </row>
    <row r="2388" spans="1:21" ht="16.5" customHeight="1">
      <c r="A2388" s="159" t="s">
        <v>266</v>
      </c>
      <c r="B2388" s="114" t="str">
        <f>VLOOKUP(A2388,'Data pick slip'!B:F,5,FALSE)</f>
        <v>KHJ-MC500-00</v>
      </c>
      <c r="F2388" s="157" t="s">
        <v>379</v>
      </c>
      <c r="H2388" s="138">
        <v>872</v>
      </c>
      <c r="I2388" s="139" t="e">
        <f>VLOOKUP(H2388,Stock_list!A:R,18,FALSE)</f>
        <v>#N/A</v>
      </c>
      <c r="J2388" s="139" t="e">
        <f>VLOOKUP(H2388,Stock_list!A:S,17,FALSE)</f>
        <v>#N/A</v>
      </c>
      <c r="K2388" s="51" t="e">
        <f>VLOOKUP(H2388,Stock_list!A:T,16,FALSE)</f>
        <v>#N/A</v>
      </c>
      <c r="L2388" s="4">
        <v>44231</v>
      </c>
      <c r="M2388" s="132">
        <v>1</v>
      </c>
      <c r="P2388" s="4" t="e">
        <f>VLOOKUP(H2388,Stock_list!A:Y,25,FALSE)</f>
        <v>#N/A</v>
      </c>
      <c r="Q2388" s="143"/>
      <c r="T2388" s="144"/>
      <c r="U2388" s="145" t="e">
        <f>VLOOKUP(H2388,Stock_list!A:N,14,FALSE)</f>
        <v>#N/A</v>
      </c>
    </row>
    <row r="2389" spans="1:21" ht="16.5" customHeight="1">
      <c r="A2389" s="159" t="s">
        <v>261</v>
      </c>
      <c r="B2389" s="114" t="str">
        <f>VLOOKUP(A2389,'Data pick slip'!B:F,5,FALSE)</f>
        <v>KHJ-MC100-00</v>
      </c>
      <c r="F2389" s="157" t="s">
        <v>379</v>
      </c>
      <c r="H2389" s="138">
        <v>875</v>
      </c>
      <c r="I2389" s="139" t="e">
        <f>VLOOKUP(H2389,Stock_list!A:R,18,FALSE)</f>
        <v>#N/A</v>
      </c>
      <c r="J2389" s="139" t="e">
        <f>VLOOKUP(H2389,Stock_list!A:S,17,FALSE)</f>
        <v>#N/A</v>
      </c>
      <c r="K2389" s="51" t="e">
        <f>VLOOKUP(H2389,Stock_list!A:T,16,FALSE)</f>
        <v>#N/A</v>
      </c>
      <c r="L2389" s="4">
        <v>44267</v>
      </c>
      <c r="M2389" s="132">
        <v>40</v>
      </c>
      <c r="P2389" s="4" t="e">
        <f>VLOOKUP(H2389,Stock_list!A:Y,25,FALSE)</f>
        <v>#N/A</v>
      </c>
      <c r="Q2389" s="143"/>
      <c r="T2389" s="144"/>
      <c r="U2389" s="145" t="e">
        <f>VLOOKUP(H2389,Stock_list!A:N,14,FALSE)</f>
        <v>#N/A</v>
      </c>
    </row>
    <row r="2390" spans="1:21" ht="16.5" customHeight="1">
      <c r="A2390" s="159" t="s">
        <v>264</v>
      </c>
      <c r="B2390" s="114" t="str">
        <f>VLOOKUP(A2390,'Data pick slip'!B:F,5,FALSE)</f>
        <v>KHJ-MC200-00</v>
      </c>
      <c r="F2390" s="157" t="s">
        <v>379</v>
      </c>
      <c r="H2390" s="138">
        <v>875</v>
      </c>
      <c r="I2390" s="139" t="e">
        <f>VLOOKUP(H2390,Stock_list!A:R,18,FALSE)</f>
        <v>#N/A</v>
      </c>
      <c r="J2390" s="139" t="e">
        <f>VLOOKUP(H2390,Stock_list!A:S,17,FALSE)</f>
        <v>#N/A</v>
      </c>
      <c r="K2390" s="51" t="e">
        <f>VLOOKUP(H2390,Stock_list!A:T,16,FALSE)</f>
        <v>#N/A</v>
      </c>
      <c r="L2390" s="4">
        <v>44267</v>
      </c>
      <c r="M2390" s="132">
        <v>1</v>
      </c>
      <c r="P2390" s="4" t="e">
        <f>VLOOKUP(H2390,Stock_list!A:Y,25,FALSE)</f>
        <v>#N/A</v>
      </c>
      <c r="Q2390" s="143"/>
      <c r="T2390" s="144"/>
      <c r="U2390" s="145" t="e">
        <f>VLOOKUP(H2390,Stock_list!A:N,14,FALSE)</f>
        <v>#N/A</v>
      </c>
    </row>
    <row r="2391" spans="1:21" ht="16.5" customHeight="1">
      <c r="A2391" s="159" t="s">
        <v>265</v>
      </c>
      <c r="B2391" s="114" t="str">
        <f>VLOOKUP(A2391,'Data pick slip'!B:F,5,FALSE)</f>
        <v>KHJ-MC400-00</v>
      </c>
      <c r="F2391" s="157" t="s">
        <v>379</v>
      </c>
      <c r="H2391" s="138">
        <v>875</v>
      </c>
      <c r="I2391" s="286" t="e">
        <f>VLOOKUP(H2391,Stock_list!A:R,18,FALSE)</f>
        <v>#N/A</v>
      </c>
      <c r="J2391" s="286" t="e">
        <f>VLOOKUP(H2391,Stock_list!A:S,17,FALSE)</f>
        <v>#N/A</v>
      </c>
      <c r="K2391" s="259" t="e">
        <f>VLOOKUP(H2391,Stock_list!A:T,16,FALSE)</f>
        <v>#N/A</v>
      </c>
      <c r="L2391" s="287">
        <v>44267</v>
      </c>
      <c r="M2391" s="284">
        <v>1</v>
      </c>
      <c r="P2391" s="4" t="e">
        <f>VLOOKUP(H2391,Stock_list!A:Y,25,FALSE)</f>
        <v>#N/A</v>
      </c>
      <c r="Q2391" s="143"/>
      <c r="T2391" s="144"/>
      <c r="U2391" s="145" t="e">
        <f>VLOOKUP(H2391,Stock_list!A:N,14,FALSE)</f>
        <v>#N/A</v>
      </c>
    </row>
    <row r="2392" spans="1:21" ht="16.5" customHeight="1">
      <c r="A2392" s="159" t="s">
        <v>261</v>
      </c>
      <c r="B2392" s="114" t="str">
        <f>VLOOKUP(A2392,'Data pick slip'!B:F,5,FALSE)</f>
        <v>KHJ-MC100-00</v>
      </c>
      <c r="F2392" s="157" t="s">
        <v>290</v>
      </c>
      <c r="H2392" s="138">
        <v>877</v>
      </c>
      <c r="I2392" s="139" t="e">
        <f>VLOOKUP(H2392,Stock_list!A:R,18,FALSE)</f>
        <v>#N/A</v>
      </c>
      <c r="J2392" s="139" t="e">
        <f>VLOOKUP(H2392,Stock_list!A:S,17,FALSE)</f>
        <v>#N/A</v>
      </c>
      <c r="K2392" s="51" t="e">
        <f>VLOOKUP(H2392,Stock_list!A:T,16,FALSE)</f>
        <v>#N/A</v>
      </c>
      <c r="L2392" s="4">
        <v>44175</v>
      </c>
      <c r="M2392" s="140">
        <v>21</v>
      </c>
      <c r="P2392" s="4" t="e">
        <f>VLOOKUP(H2392,Stock_list!A:Y,25,FALSE)</f>
        <v>#N/A</v>
      </c>
      <c r="Q2392" s="133"/>
      <c r="T2392" s="144"/>
      <c r="U2392" s="145" t="e">
        <f>VLOOKUP(H2392,Stock_list!A:N,14,FALSE)</f>
        <v>#N/A</v>
      </c>
    </row>
    <row r="2393" spans="1:21" ht="16.5" customHeight="1">
      <c r="A2393" s="159" t="s">
        <v>261</v>
      </c>
      <c r="B2393" s="114" t="str">
        <f>VLOOKUP(A2393,'Data pick slip'!B:F,5,FALSE)</f>
        <v>KHJ-MC100-00</v>
      </c>
      <c r="F2393" s="157" t="s">
        <v>290</v>
      </c>
      <c r="H2393" s="138">
        <v>737</v>
      </c>
      <c r="I2393" s="139" t="e">
        <f>VLOOKUP(H2393,Stock_list!A:R,18,FALSE)</f>
        <v>#N/A</v>
      </c>
      <c r="J2393" s="139" t="e">
        <f>VLOOKUP(H2393,Stock_list!A:S,17,FALSE)</f>
        <v>#N/A</v>
      </c>
      <c r="K2393" s="51" t="e">
        <f>VLOOKUP(H2393,Stock_list!A:T,16,FALSE)</f>
        <v>#N/A</v>
      </c>
      <c r="L2393" s="4">
        <v>44117</v>
      </c>
      <c r="M2393" s="140">
        <v>5</v>
      </c>
      <c r="P2393" s="4" t="e">
        <f>VLOOKUP(H2393,Stock_list!A:Y,25,FALSE)</f>
        <v>#N/A</v>
      </c>
      <c r="Q2393" s="143"/>
      <c r="S2393" s="123" t="s">
        <v>521</v>
      </c>
      <c r="T2393" s="144" t="s">
        <v>875</v>
      </c>
      <c r="U2393" s="145" t="e">
        <f>VLOOKUP(H2393,Stock_list!A:N,14,FALSE)</f>
        <v>#N/A</v>
      </c>
    </row>
    <row r="2394" spans="1:21" ht="16.5" customHeight="1">
      <c r="A2394" s="159" t="s">
        <v>261</v>
      </c>
      <c r="B2394" s="114" t="str">
        <f>VLOOKUP(A2394,'Data pick slip'!B:F,5,FALSE)</f>
        <v>KHJ-MC100-00</v>
      </c>
      <c r="F2394" s="157" t="s">
        <v>290</v>
      </c>
      <c r="I2394" s="139" t="s">
        <v>611</v>
      </c>
      <c r="J2394" s="139" t="s">
        <v>876</v>
      </c>
      <c r="K2394" s="51" t="s">
        <v>225</v>
      </c>
      <c r="L2394" s="4">
        <v>44117</v>
      </c>
      <c r="M2394" s="132">
        <v>160</v>
      </c>
      <c r="P2394" s="4" t="s">
        <v>214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264</v>
      </c>
      <c r="B2395" s="114" t="str">
        <f>VLOOKUP(A2395,'Data pick slip'!B:F,5,FALSE)</f>
        <v>KHJ-MC200-00</v>
      </c>
      <c r="F2395" s="157" t="s">
        <v>290</v>
      </c>
      <c r="I2395" s="139" t="s">
        <v>611</v>
      </c>
      <c r="J2395" s="139" t="s">
        <v>876</v>
      </c>
      <c r="K2395" s="51" t="s">
        <v>225</v>
      </c>
      <c r="L2395" s="4">
        <v>44117</v>
      </c>
      <c r="M2395" s="132">
        <v>10</v>
      </c>
      <c r="P2395" s="4" t="s">
        <v>214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265</v>
      </c>
      <c r="B2396" s="114" t="str">
        <f>VLOOKUP(A2396,'Data pick slip'!B:F,5,FALSE)</f>
        <v>KHJ-MC400-00</v>
      </c>
      <c r="F2396" s="157" t="s">
        <v>290</v>
      </c>
      <c r="I2396" s="139" t="s">
        <v>611</v>
      </c>
      <c r="J2396" s="139" t="s">
        <v>876</v>
      </c>
      <c r="K2396" s="51" t="s">
        <v>225</v>
      </c>
      <c r="L2396" s="4">
        <v>44117</v>
      </c>
      <c r="M2396" s="132">
        <v>2</v>
      </c>
      <c r="P2396" s="4" t="s">
        <v>214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261</v>
      </c>
      <c r="B2397" s="114" t="str">
        <f>VLOOKUP(A2397,'Data pick slip'!B:F,5,FALSE)</f>
        <v>KHJ-MC100-00</v>
      </c>
      <c r="F2397" s="157" t="s">
        <v>379</v>
      </c>
      <c r="H2397" s="138">
        <v>878</v>
      </c>
      <c r="I2397" s="139" t="e">
        <f>VLOOKUP(H2397,Stock_list!A:R,18,FALSE)</f>
        <v>#N/A</v>
      </c>
      <c r="J2397" s="139" t="e">
        <f>VLOOKUP(H2397,Stock_list!A:S,17,FALSE)</f>
        <v>#N/A</v>
      </c>
      <c r="K2397" s="51" t="e">
        <f>VLOOKUP(H2397,Stock_list!A:T,16,FALSE)</f>
        <v>#N/A</v>
      </c>
      <c r="L2397" s="4">
        <v>44217</v>
      </c>
      <c r="M2397" s="140">
        <v>40</v>
      </c>
      <c r="P2397" s="4" t="e">
        <f>VLOOKUP(H2397,Stock_list!A:Y,25,FALSE)</f>
        <v>#N/A</v>
      </c>
      <c r="Q2397" s="133"/>
      <c r="T2397" s="144"/>
      <c r="U2397" s="145" t="e">
        <f>VLOOKUP(H2397,Stock_list!A:N,14,FALSE)</f>
        <v>#N/A</v>
      </c>
    </row>
    <row r="2398" spans="1:21" ht="16.5" customHeight="1">
      <c r="A2398" s="159" t="s">
        <v>261</v>
      </c>
      <c r="B2398" s="114" t="str">
        <f>VLOOKUP(A2398,'Data pick slip'!B:F,5,FALSE)</f>
        <v>KHJ-MC100-00</v>
      </c>
      <c r="F2398" s="157" t="s">
        <v>290</v>
      </c>
      <c r="H2398" s="138">
        <v>878</v>
      </c>
      <c r="I2398" s="139" t="e">
        <f>VLOOKUP(H2398,Stock_list!A:R,18,FALSE)</f>
        <v>#N/A</v>
      </c>
      <c r="J2398" s="139" t="e">
        <f>VLOOKUP(H2398,Stock_list!A:S,17,FALSE)</f>
        <v>#N/A</v>
      </c>
      <c r="K2398" s="51" t="e">
        <f>VLOOKUP(H2398,Stock_list!A:T,16,FALSE)</f>
        <v>#N/A</v>
      </c>
      <c r="L2398" s="4">
        <v>44201</v>
      </c>
      <c r="O2398" s="132">
        <f>40-40</f>
        <v>0</v>
      </c>
      <c r="P2398" s="4" t="e">
        <f>VLOOKUP(H2398,Stock_list!A:Y,25,FALSE)</f>
        <v>#N/A</v>
      </c>
      <c r="Q2398" s="133"/>
      <c r="T2398" s="144"/>
      <c r="U2398" s="145" t="e">
        <f>VLOOKUP(H2398,Stock_list!A:N,14,FALSE)</f>
        <v>#N/A</v>
      </c>
    </row>
    <row r="2399" spans="1:21" ht="16.5" customHeight="1">
      <c r="A2399" s="159" t="s">
        <v>261</v>
      </c>
      <c r="B2399" s="114" t="str">
        <f>VLOOKUP(A2399,'Data pick slip'!B:F,5,FALSE)</f>
        <v>KHJ-MC100-00</v>
      </c>
      <c r="F2399" s="157" t="s">
        <v>290</v>
      </c>
      <c r="H2399" s="138">
        <v>880</v>
      </c>
      <c r="I2399" s="139" t="e">
        <f>VLOOKUP(H2399,Stock_list!A:R,18,FALSE)</f>
        <v>#N/A</v>
      </c>
      <c r="J2399" s="139" t="e">
        <f>VLOOKUP(H2399,Stock_list!A:S,17,FALSE)</f>
        <v>#N/A</v>
      </c>
      <c r="K2399" s="51" t="e">
        <f>VLOOKUP(H2399,Stock_list!A:T,16,FALSE)</f>
        <v>#N/A</v>
      </c>
      <c r="L2399" s="4">
        <v>44150</v>
      </c>
      <c r="M2399" s="132">
        <v>70</v>
      </c>
      <c r="P2399" s="4" t="e">
        <f>VLOOKUP(H2399,Stock_list!A:Y,25,FALSE)</f>
        <v>#N/A</v>
      </c>
      <c r="Q2399" s="133"/>
      <c r="T2399" s="144"/>
      <c r="U2399" s="145" t="e">
        <f>VLOOKUP(H2399,Stock_list!A:N,14,FALSE)</f>
        <v>#N/A</v>
      </c>
    </row>
    <row r="2400" spans="1:21" ht="16.5" customHeight="1">
      <c r="A2400" s="159" t="s">
        <v>264</v>
      </c>
      <c r="B2400" s="114" t="str">
        <f>VLOOKUP(A2400,'Data pick slip'!B:F,5,FALSE)</f>
        <v>KHJ-MC200-00</v>
      </c>
      <c r="F2400" s="157" t="s">
        <v>290</v>
      </c>
      <c r="H2400" s="138">
        <v>880</v>
      </c>
      <c r="I2400" s="139" t="e">
        <f>VLOOKUP(H2400,Stock_list!A:R,18,FALSE)</f>
        <v>#N/A</v>
      </c>
      <c r="J2400" s="139" t="e">
        <f>VLOOKUP(H2400,Stock_list!A:S,17,FALSE)</f>
        <v>#N/A</v>
      </c>
      <c r="K2400" s="51" t="e">
        <f>VLOOKUP(H2400,Stock_list!A:T,16,FALSE)</f>
        <v>#N/A</v>
      </c>
      <c r="L2400" s="4">
        <v>44150</v>
      </c>
      <c r="M2400" s="132">
        <v>12</v>
      </c>
      <c r="P2400" s="4" t="e">
        <f>VLOOKUP(H2400,Stock_list!A:Y,25,FALSE)</f>
        <v>#N/A</v>
      </c>
      <c r="Q2400" s="133"/>
      <c r="T2400" s="144"/>
      <c r="U2400" s="145" t="e">
        <f>VLOOKUP(H2400,Stock_list!A:N,14,FALSE)</f>
        <v>#N/A</v>
      </c>
    </row>
    <row r="2401" spans="1:21" ht="16.5" customHeight="1">
      <c r="A2401" s="159" t="s">
        <v>265</v>
      </c>
      <c r="B2401" s="114" t="str">
        <f>VLOOKUP(A2401,'Data pick slip'!B:F,5,FALSE)</f>
        <v>KHJ-MC400-00</v>
      </c>
      <c r="F2401" s="157" t="s">
        <v>290</v>
      </c>
      <c r="H2401" s="138">
        <v>880</v>
      </c>
      <c r="I2401" s="139" t="e">
        <f>VLOOKUP(H2401,Stock_list!A:R,18,FALSE)</f>
        <v>#N/A</v>
      </c>
      <c r="J2401" s="139" t="e">
        <f>VLOOKUP(H2401,Stock_list!A:S,17,FALSE)</f>
        <v>#N/A</v>
      </c>
      <c r="K2401" s="51" t="e">
        <f>VLOOKUP(H2401,Stock_list!A:T,16,FALSE)</f>
        <v>#N/A</v>
      </c>
      <c r="L2401" s="4">
        <v>44150</v>
      </c>
      <c r="M2401" s="132">
        <v>3</v>
      </c>
      <c r="P2401" s="4" t="e">
        <f>VLOOKUP(H2401,Stock_list!A:Y,25,FALSE)</f>
        <v>#N/A</v>
      </c>
      <c r="Q2401" s="133"/>
      <c r="T2401" s="144"/>
      <c r="U2401" s="145" t="e">
        <f>VLOOKUP(H2401,Stock_list!A:N,14,FALSE)</f>
        <v>#N/A</v>
      </c>
    </row>
    <row r="2402" spans="1:21" ht="16.5" customHeight="1">
      <c r="A2402" s="159" t="s">
        <v>261</v>
      </c>
      <c r="B2402" s="114" t="str">
        <f>VLOOKUP(A2402,'Data pick slip'!B:F,5,FALSE)</f>
        <v>KHJ-MC100-00</v>
      </c>
      <c r="F2402" s="157" t="s">
        <v>379</v>
      </c>
      <c r="H2402" s="138">
        <v>882</v>
      </c>
      <c r="I2402" s="139" t="e">
        <f>VLOOKUP(H2402,Stock_list!A:R,18,FALSE)</f>
        <v>#N/A</v>
      </c>
      <c r="J2402" s="139" t="e">
        <f>VLOOKUP(H2402,Stock_list!A:S,17,FALSE)</f>
        <v>#N/A</v>
      </c>
      <c r="K2402" s="51" t="e">
        <f>VLOOKUP(H2402,Stock_list!A:T,16,FALSE)</f>
        <v>#N/A</v>
      </c>
      <c r="L2402" s="4">
        <v>44227</v>
      </c>
      <c r="M2402" s="132">
        <v>133</v>
      </c>
      <c r="P2402" s="4" t="e">
        <f>VLOOKUP(H2402,Stock_list!A:Y,25,FALSE)</f>
        <v>#N/A</v>
      </c>
      <c r="Q2402" s="133"/>
      <c r="T2402" s="144"/>
      <c r="U2402" s="145" t="e">
        <f>VLOOKUP(H2402,Stock_list!A:N,14,FALSE)</f>
        <v>#N/A</v>
      </c>
    </row>
    <row r="2403" spans="1:21" ht="16.5" customHeight="1">
      <c r="A2403" s="159" t="s">
        <v>264</v>
      </c>
      <c r="B2403" s="114" t="str">
        <f>VLOOKUP(A2403,'Data pick slip'!B:F,5,FALSE)</f>
        <v>KHJ-MC200-00</v>
      </c>
      <c r="F2403" s="157" t="s">
        <v>379</v>
      </c>
      <c r="H2403" s="138">
        <v>882</v>
      </c>
      <c r="I2403" s="139" t="e">
        <f>VLOOKUP(H2403,Stock_list!A:R,18,FALSE)</f>
        <v>#N/A</v>
      </c>
      <c r="J2403" s="139" t="e">
        <f>VLOOKUP(H2403,Stock_list!A:S,17,FALSE)</f>
        <v>#N/A</v>
      </c>
      <c r="K2403" s="51" t="e">
        <f>VLOOKUP(H2403,Stock_list!A:T,16,FALSE)</f>
        <v>#N/A</v>
      </c>
      <c r="L2403" s="4">
        <v>44227</v>
      </c>
      <c r="M2403" s="132">
        <v>24</v>
      </c>
      <c r="P2403" s="4" t="e">
        <f>VLOOKUP(H2403,Stock_list!A:Y,25,FALSE)</f>
        <v>#N/A</v>
      </c>
      <c r="Q2403" s="133"/>
      <c r="T2403" s="144"/>
      <c r="U2403" s="145" t="e">
        <f>VLOOKUP(H2403,Stock_list!A:N,14,FALSE)</f>
        <v>#N/A</v>
      </c>
    </row>
    <row r="2404" spans="1:21" ht="16.5" customHeight="1">
      <c r="A2404" s="159" t="s">
        <v>265</v>
      </c>
      <c r="B2404" s="114" t="str">
        <f>VLOOKUP(A2404,'Data pick slip'!B:F,5,FALSE)</f>
        <v>KHJ-MC400-00</v>
      </c>
      <c r="F2404" s="157" t="s">
        <v>379</v>
      </c>
      <c r="H2404" s="138">
        <v>882</v>
      </c>
      <c r="I2404" s="139" t="e">
        <f>VLOOKUP(H2404,Stock_list!A:R,18,FALSE)</f>
        <v>#N/A</v>
      </c>
      <c r="J2404" s="286" t="e">
        <f>VLOOKUP(H2404,Stock_list!A:S,17,FALSE)</f>
        <v>#N/A</v>
      </c>
      <c r="K2404" s="259" t="e">
        <f>VLOOKUP(H2404,Stock_list!A:T,16,FALSE)</f>
        <v>#N/A</v>
      </c>
      <c r="L2404" s="287">
        <v>44227</v>
      </c>
      <c r="M2404" s="284">
        <v>2</v>
      </c>
      <c r="P2404" s="4" t="e">
        <f>VLOOKUP(H2404,Stock_list!A:Y,25,FALSE)</f>
        <v>#N/A</v>
      </c>
      <c r="Q2404" s="133"/>
      <c r="T2404" s="144"/>
      <c r="U2404" s="145" t="e">
        <f>VLOOKUP(H2404,Stock_list!A:N,14,FALSE)</f>
        <v>#N/A</v>
      </c>
    </row>
    <row r="2405" spans="1:21" ht="16.5" customHeight="1">
      <c r="A2405" s="159" t="s">
        <v>266</v>
      </c>
      <c r="B2405" s="114" t="str">
        <f>VLOOKUP(A2405,'Data pick slip'!B:F,5,FALSE)</f>
        <v>KHJ-MC500-00</v>
      </c>
      <c r="F2405" s="157" t="s">
        <v>379</v>
      </c>
      <c r="H2405" s="138">
        <v>882</v>
      </c>
      <c r="I2405" s="139" t="e">
        <f>VLOOKUP(H2405,Stock_list!A:R,18,FALSE)</f>
        <v>#N/A</v>
      </c>
      <c r="J2405" s="139" t="e">
        <f>VLOOKUP(H2405,Stock_list!A:S,17,FALSE)</f>
        <v>#N/A</v>
      </c>
      <c r="K2405" s="51" t="e">
        <f>VLOOKUP(H2405,Stock_list!A:T,16,FALSE)</f>
        <v>#N/A</v>
      </c>
      <c r="L2405" s="4">
        <v>44227</v>
      </c>
      <c r="M2405" s="132">
        <v>2</v>
      </c>
      <c r="P2405" s="4" t="e">
        <f>VLOOKUP(H2405,Stock_list!A:Y,25,FALSE)</f>
        <v>#N/A</v>
      </c>
      <c r="Q2405" s="133"/>
      <c r="T2405" s="144"/>
      <c r="U2405" s="145" t="e">
        <f>VLOOKUP(H2405,Stock_list!A:N,14,FALSE)</f>
        <v>#N/A</v>
      </c>
    </row>
    <row r="2406" spans="1:21" ht="16.5" customHeight="1">
      <c r="A2406" s="159" t="s">
        <v>267</v>
      </c>
      <c r="B2406" s="114" t="str">
        <f>VLOOKUP(A2406,'Data pick slip'!B:F,5,FALSE)</f>
        <v>KHJ-MC600-00</v>
      </c>
      <c r="F2406" s="157" t="s">
        <v>379</v>
      </c>
      <c r="H2406" s="138">
        <v>882</v>
      </c>
      <c r="I2406" s="139" t="e">
        <f>VLOOKUP(H2406,Stock_list!A:R,18,FALSE)</f>
        <v>#N/A</v>
      </c>
      <c r="J2406" s="139" t="e">
        <f>VLOOKUP(H2406,Stock_list!A:S,17,FALSE)</f>
        <v>#N/A</v>
      </c>
      <c r="K2406" s="51" t="e">
        <f>VLOOKUP(H2406,Stock_list!A:T,16,FALSE)</f>
        <v>#N/A</v>
      </c>
      <c r="L2406" s="4">
        <v>44227</v>
      </c>
      <c r="M2406" s="132">
        <v>1</v>
      </c>
      <c r="P2406" s="4" t="e">
        <f>VLOOKUP(H2406,Stock_list!A:Y,25,FALSE)</f>
        <v>#N/A</v>
      </c>
      <c r="Q2406" s="133"/>
      <c r="T2406" s="144"/>
      <c r="U2406" s="145" t="e">
        <f>VLOOKUP(H2406,Stock_list!A:N,14,FALSE)</f>
        <v>#N/A</v>
      </c>
    </row>
    <row r="2407" spans="1:21" ht="16.5" customHeight="1">
      <c r="A2407" s="159" t="s">
        <v>268</v>
      </c>
      <c r="B2407" s="114" t="str">
        <f>VLOOKUP(A2407,'Data pick slip'!B:F,5,FALSE)</f>
        <v>KHJ-MC700-00</v>
      </c>
      <c r="F2407" s="157" t="s">
        <v>227</v>
      </c>
      <c r="H2407" s="138">
        <v>882</v>
      </c>
      <c r="I2407" s="139" t="e">
        <f>VLOOKUP(H2407,Stock_list!A:R,18,FALSE)</f>
        <v>#N/A</v>
      </c>
      <c r="J2407" s="139" t="e">
        <f>VLOOKUP(H2407,Stock_list!A:S,17,FALSE)</f>
        <v>#N/A</v>
      </c>
      <c r="K2407" s="51" t="e">
        <f>VLOOKUP(H2407,Stock_list!A:T,16,FALSE)</f>
        <v>#N/A</v>
      </c>
      <c r="L2407" s="4">
        <v>44227</v>
      </c>
      <c r="M2407" s="132">
        <v>1</v>
      </c>
      <c r="P2407" s="4" t="e">
        <f>VLOOKUP(H2407,Stock_list!A:Y,25,FALSE)</f>
        <v>#N/A</v>
      </c>
      <c r="Q2407" s="133"/>
      <c r="T2407" s="144"/>
      <c r="U2407" s="145" t="e">
        <f>VLOOKUP(H2407,Stock_list!A:N,14,FALSE)</f>
        <v>#N/A</v>
      </c>
    </row>
    <row r="2408" spans="1:21" ht="16.5" customHeight="1">
      <c r="A2408" s="159" t="s">
        <v>261</v>
      </c>
      <c r="B2408" s="114" t="str">
        <f>VLOOKUP(A2408,'Data pick slip'!B:F,5,FALSE)</f>
        <v>KHJ-MC100-00</v>
      </c>
      <c r="F2408" s="157" t="s">
        <v>379</v>
      </c>
      <c r="H2408" s="138">
        <v>885</v>
      </c>
      <c r="I2408" s="139" t="e">
        <f>VLOOKUP(H2408,Stock_list!A:R,18,FALSE)</f>
        <v>#N/A</v>
      </c>
      <c r="J2408" s="139" t="e">
        <f>VLOOKUP(H2408,Stock_list!A:S,17,FALSE)</f>
        <v>#N/A</v>
      </c>
      <c r="K2408" s="51" t="e">
        <f>VLOOKUP(H2408,Stock_list!A:T,16,FALSE)</f>
        <v>#N/A</v>
      </c>
      <c r="L2408" s="4">
        <v>44211</v>
      </c>
      <c r="M2408" s="140">
        <v>16</v>
      </c>
      <c r="P2408" s="4" t="e">
        <f>VLOOKUP(H2408,Stock_list!A:Y,25,FALSE)</f>
        <v>#N/A</v>
      </c>
      <c r="Q2408" s="133"/>
      <c r="T2408" s="144"/>
      <c r="U2408" s="145" t="e">
        <f>VLOOKUP(H2408,Stock_list!A:N,14,FALSE)</f>
        <v>#N/A</v>
      </c>
    </row>
    <row r="2409" spans="1:21" ht="16.5" customHeight="1">
      <c r="A2409" s="159" t="s">
        <v>264</v>
      </c>
      <c r="B2409" s="114" t="str">
        <f>VLOOKUP(A2409,'Data pick slip'!B:F,5,FALSE)</f>
        <v>KHJ-MC200-00</v>
      </c>
      <c r="F2409" s="157" t="s">
        <v>379</v>
      </c>
      <c r="H2409" s="138">
        <v>885</v>
      </c>
      <c r="I2409" s="139" t="e">
        <f>VLOOKUP(H2409,Stock_list!A:R,18,FALSE)</f>
        <v>#N/A</v>
      </c>
      <c r="J2409" s="139" t="e">
        <f>VLOOKUP(H2409,Stock_list!A:S,17,FALSE)</f>
        <v>#N/A</v>
      </c>
      <c r="K2409" s="51" t="e">
        <f>VLOOKUP(H2409,Stock_list!A:T,16,FALSE)</f>
        <v>#N/A</v>
      </c>
      <c r="L2409" s="4">
        <v>44211</v>
      </c>
      <c r="M2409" s="140">
        <v>8</v>
      </c>
      <c r="P2409" s="4" t="e">
        <f>VLOOKUP(H2409,Stock_list!A:Y,25,FALSE)</f>
        <v>#N/A</v>
      </c>
      <c r="Q2409" s="133"/>
      <c r="T2409" s="144"/>
      <c r="U2409" s="145" t="e">
        <f>VLOOKUP(H2409,Stock_list!A:N,14,FALSE)</f>
        <v>#N/A</v>
      </c>
    </row>
    <row r="2410" spans="1:21" ht="16.5" customHeight="1">
      <c r="A2410" s="159" t="s">
        <v>264</v>
      </c>
      <c r="B2410" s="114" t="str">
        <f>VLOOKUP(A2410,'Data pick slip'!B:F,5,FALSE)</f>
        <v>KHJ-MC200-00</v>
      </c>
      <c r="F2410" s="157" t="s">
        <v>270</v>
      </c>
      <c r="H2410" s="138">
        <v>885</v>
      </c>
      <c r="I2410" s="139" t="e">
        <f>VLOOKUP(H2410,Stock_list!A:R,18,FALSE)</f>
        <v>#N/A</v>
      </c>
      <c r="J2410" s="139" t="e">
        <f>VLOOKUP(H2410,Stock_list!A:S,17,FALSE)</f>
        <v>#N/A</v>
      </c>
      <c r="K2410" s="51" t="e">
        <f>VLOOKUP(H2410,Stock_list!A:T,16,FALSE)</f>
        <v>#N/A</v>
      </c>
      <c r="L2410" s="4">
        <v>44211</v>
      </c>
      <c r="O2410" s="132">
        <f>8-8</f>
        <v>0</v>
      </c>
      <c r="P2410" s="4" t="e">
        <f>VLOOKUP(H2410,Stock_list!A:Y,25,FALSE)</f>
        <v>#N/A</v>
      </c>
      <c r="Q2410" s="133"/>
      <c r="T2410" s="144"/>
      <c r="U2410" s="145" t="e">
        <f>VLOOKUP(H2410,Stock_list!A:N,14,FALSE)</f>
        <v>#N/A</v>
      </c>
    </row>
    <row r="2411" spans="1:21" ht="16.5" customHeight="1">
      <c r="A2411" s="159" t="s">
        <v>265</v>
      </c>
      <c r="B2411" s="114" t="str">
        <f>VLOOKUP(A2411,'Data pick slip'!B:F,5,FALSE)</f>
        <v>KHJ-MC400-00</v>
      </c>
      <c r="F2411" s="157" t="s">
        <v>379</v>
      </c>
      <c r="H2411" s="138">
        <v>885</v>
      </c>
      <c r="I2411" s="139" t="e">
        <f>VLOOKUP(H2411,Stock_list!A:R,18,FALSE)</f>
        <v>#N/A</v>
      </c>
      <c r="J2411" s="286" t="e">
        <f>VLOOKUP(H2411,Stock_list!A:S,17,FALSE)</f>
        <v>#N/A</v>
      </c>
      <c r="K2411" s="259" t="e">
        <f>VLOOKUP(H2411,Stock_list!A:T,16,FALSE)</f>
        <v>#N/A</v>
      </c>
      <c r="L2411" s="287">
        <v>44211</v>
      </c>
      <c r="M2411" s="290">
        <v>6</v>
      </c>
      <c r="P2411" s="4" t="e">
        <f>VLOOKUP(H2411,Stock_list!A:Y,25,FALSE)</f>
        <v>#N/A</v>
      </c>
      <c r="Q2411" s="133"/>
      <c r="T2411" s="144"/>
      <c r="U2411" s="145" t="e">
        <f>VLOOKUP(H2411,Stock_list!A:N,14,FALSE)</f>
        <v>#N/A</v>
      </c>
    </row>
    <row r="2412" spans="1:21" ht="16.5" customHeight="1">
      <c r="A2412" s="159" t="s">
        <v>261</v>
      </c>
      <c r="B2412" s="114" t="str">
        <f>VLOOKUP(A2412,'Data pick slip'!B:F,5,FALSE)</f>
        <v>KHJ-MC100-00</v>
      </c>
      <c r="F2412" s="157" t="s">
        <v>290</v>
      </c>
      <c r="H2412" s="138">
        <v>1165</v>
      </c>
      <c r="I2412" s="139" t="e">
        <f>VLOOKUP(H2412,Stock_list!A:R,18,FALSE)</f>
        <v>#N/A</v>
      </c>
      <c r="J2412" s="139" t="e">
        <f>VLOOKUP(H2412,Stock_list!A:S,17,FALSE)</f>
        <v>#N/A</v>
      </c>
      <c r="K2412" s="51" t="e">
        <f>VLOOKUP(H2412,Stock_list!A:T,16,FALSE)</f>
        <v>#N/A</v>
      </c>
      <c r="L2412" s="4">
        <v>44128</v>
      </c>
      <c r="O2412" s="132">
        <f>50-50</f>
        <v>0</v>
      </c>
      <c r="P2412" s="4" t="e">
        <f>VLOOKUP(H2412,Stock_list!A:Y,25,FALSE)</f>
        <v>#N/A</v>
      </c>
      <c r="Q2412" s="133"/>
      <c r="T2412" s="144"/>
      <c r="U2412" s="145" t="e">
        <f>VLOOKUP(H2412,Stock_list!A:N,14,FALSE)</f>
        <v>#N/A</v>
      </c>
    </row>
    <row r="2413" spans="1:21" ht="16.5" customHeight="1">
      <c r="A2413" s="159" t="s">
        <v>261</v>
      </c>
      <c r="B2413" s="114" t="str">
        <f>VLOOKUP(A2413,'Data pick slip'!B:F,5,FALSE)</f>
        <v>KHJ-MC100-00</v>
      </c>
      <c r="F2413" s="157" t="s">
        <v>379</v>
      </c>
      <c r="H2413" s="138">
        <v>1165</v>
      </c>
      <c r="I2413" s="139" t="e">
        <f>VLOOKUP(H2413,Stock_list!A:R,18,FALSE)</f>
        <v>#N/A</v>
      </c>
      <c r="J2413" s="139" t="e">
        <f>VLOOKUP(H2413,Stock_list!A:S,17,FALSE)</f>
        <v>#N/A</v>
      </c>
      <c r="K2413" s="51" t="e">
        <f>VLOOKUP(H2413,Stock_list!A:T,16,FALSE)</f>
        <v>#N/A</v>
      </c>
      <c r="L2413" s="4">
        <v>44340</v>
      </c>
      <c r="M2413" s="140">
        <v>100</v>
      </c>
      <c r="P2413" s="4" t="e">
        <f>VLOOKUP(H2413,Stock_list!A:Y,25,FALSE)</f>
        <v>#N/A</v>
      </c>
      <c r="Q2413" s="133"/>
      <c r="T2413" s="144"/>
      <c r="U2413" s="145" t="e">
        <f>VLOOKUP(H2413,Stock_list!A:N,14,FALSE)</f>
        <v>#N/A</v>
      </c>
    </row>
    <row r="2414" spans="1:21" ht="16.5" customHeight="1">
      <c r="A2414" s="159" t="s">
        <v>261</v>
      </c>
      <c r="B2414" s="114" t="str">
        <f>VLOOKUP(A2414,'Data pick slip'!B:F,5,FALSE)</f>
        <v>KHJ-MC100-00</v>
      </c>
      <c r="F2414" s="157" t="s">
        <v>379</v>
      </c>
      <c r="H2414" s="138">
        <v>887</v>
      </c>
      <c r="I2414" s="139" t="e">
        <f>VLOOKUP(H2414,Stock_list!A:R,18,FALSE)</f>
        <v>#N/A</v>
      </c>
      <c r="J2414" s="139" t="e">
        <f>VLOOKUP(H2414,Stock_list!A:S,17,FALSE)</f>
        <v>#N/A</v>
      </c>
      <c r="K2414" s="51" t="e">
        <f>VLOOKUP(H2414,Stock_list!A:T,16,FALSE)</f>
        <v>#N/A</v>
      </c>
      <c r="L2414" s="4">
        <v>44190</v>
      </c>
      <c r="M2414" s="140">
        <v>30</v>
      </c>
      <c r="P2414" s="4" t="e">
        <f>VLOOKUP(H2414,Stock_list!A:Y,25,FALSE)</f>
        <v>#N/A</v>
      </c>
      <c r="Q2414" s="133"/>
      <c r="T2414" s="144"/>
      <c r="U2414" s="145" t="e">
        <f>VLOOKUP(H2414,Stock_list!A:N,14,FALSE)</f>
        <v>#N/A</v>
      </c>
    </row>
    <row r="2415" spans="1:21" ht="16.5" customHeight="1">
      <c r="A2415" s="159" t="s">
        <v>261</v>
      </c>
      <c r="B2415" s="114" t="str">
        <f>VLOOKUP(A2415,'Data pick slip'!B:F,5,FALSE)</f>
        <v>KHJ-MC100-00</v>
      </c>
      <c r="F2415" s="157" t="s">
        <v>290</v>
      </c>
      <c r="H2415" s="138">
        <v>887</v>
      </c>
      <c r="I2415" s="139" t="e">
        <f>VLOOKUP(H2415,Stock_list!A:R,18,FALSE)</f>
        <v>#N/A</v>
      </c>
      <c r="J2415" s="139" t="e">
        <f>VLOOKUP(H2415,Stock_list!A:S,17,FALSE)</f>
        <v>#N/A</v>
      </c>
      <c r="K2415" s="51" t="e">
        <f>VLOOKUP(H2415,Stock_list!A:T,16,FALSE)</f>
        <v>#N/A</v>
      </c>
      <c r="L2415" s="4">
        <v>44138</v>
      </c>
      <c r="O2415" s="132">
        <f>20-20</f>
        <v>0</v>
      </c>
      <c r="P2415" s="4" t="e">
        <f>VLOOKUP(H2415,Stock_list!A:Y,25,FALSE)</f>
        <v>#N/A</v>
      </c>
      <c r="Q2415" s="133"/>
      <c r="T2415" s="144"/>
      <c r="U2415" s="145" t="e">
        <f>VLOOKUP(H2415,Stock_list!A:N,14,FALSE)</f>
        <v>#N/A</v>
      </c>
    </row>
    <row r="2416" spans="1:21" ht="16.5" customHeight="1">
      <c r="A2416" s="159" t="s">
        <v>261</v>
      </c>
      <c r="B2416" s="114" t="str">
        <f>VLOOKUP(A2416,'Data pick slip'!B:F,5,FALSE)</f>
        <v>KHJ-MC100-00</v>
      </c>
      <c r="F2416" s="157" t="s">
        <v>379</v>
      </c>
      <c r="H2416" s="138">
        <v>888</v>
      </c>
      <c r="I2416" s="139" t="e">
        <f>VLOOKUP(H2416,Stock_list!A:R,18,FALSE)</f>
        <v>#N/A</v>
      </c>
      <c r="J2416" s="139" t="e">
        <f>VLOOKUP(H2416,Stock_list!A:S,17,FALSE)</f>
        <v>#N/A</v>
      </c>
      <c r="K2416" s="51" t="e">
        <f>VLOOKUP(H2416,Stock_list!A:T,16,FALSE)</f>
        <v>#N/A</v>
      </c>
      <c r="L2416" s="4">
        <v>44128</v>
      </c>
      <c r="M2416" s="132">
        <v>10</v>
      </c>
      <c r="P2416" s="4" t="e">
        <f>VLOOKUP(H2416,Stock_list!A:Y,25,FALSE)</f>
        <v>#N/A</v>
      </c>
      <c r="Q2416" s="143"/>
      <c r="T2416" s="144"/>
      <c r="U2416" s="145" t="e">
        <f>VLOOKUP(H2416,Stock_list!A:N,14,FALSE)</f>
        <v>#N/A</v>
      </c>
    </row>
    <row r="2417" spans="1:21" ht="16.5" customHeight="1">
      <c r="A2417" s="159" t="s">
        <v>264</v>
      </c>
      <c r="B2417" s="114" t="str">
        <f>VLOOKUP(A2417,'Data pick slip'!B:F,5,FALSE)</f>
        <v>KHJ-MC200-00</v>
      </c>
      <c r="F2417" s="157" t="s">
        <v>379</v>
      </c>
      <c r="H2417" s="138">
        <v>888</v>
      </c>
      <c r="I2417" s="139" t="e">
        <f>VLOOKUP(H2417,Stock_list!A:R,18,FALSE)</f>
        <v>#N/A</v>
      </c>
      <c r="J2417" s="139" t="e">
        <f>VLOOKUP(H2417,Stock_list!A:S,17,FALSE)</f>
        <v>#N/A</v>
      </c>
      <c r="K2417" s="51" t="e">
        <f>VLOOKUP(H2417,Stock_list!A:T,16,FALSE)</f>
        <v>#N/A</v>
      </c>
      <c r="L2417" s="4">
        <v>44128</v>
      </c>
      <c r="M2417" s="132">
        <v>12</v>
      </c>
      <c r="P2417" s="4" t="e">
        <f>VLOOKUP(H2417,Stock_list!A:Y,25,FALSE)</f>
        <v>#N/A</v>
      </c>
      <c r="Q2417" s="143"/>
      <c r="T2417" s="144"/>
      <c r="U2417" s="145" t="e">
        <f>VLOOKUP(H2417,Stock_list!A:N,14,FALSE)</f>
        <v>#N/A</v>
      </c>
    </row>
    <row r="2418" spans="1:21" ht="16.5" customHeight="1">
      <c r="A2418" s="159" t="s">
        <v>265</v>
      </c>
      <c r="B2418" s="114" t="str">
        <f>VLOOKUP(A2418,'Data pick slip'!B:F,5,FALSE)</f>
        <v>KHJ-MC400-00</v>
      </c>
      <c r="F2418" s="157" t="s">
        <v>379</v>
      </c>
      <c r="H2418" s="138">
        <v>888</v>
      </c>
      <c r="I2418" s="139" t="e">
        <f>VLOOKUP(H2418,Stock_list!A:R,18,FALSE)</f>
        <v>#N/A</v>
      </c>
      <c r="J2418" s="139" t="e">
        <f>VLOOKUP(H2418,Stock_list!A:S,17,FALSE)</f>
        <v>#N/A</v>
      </c>
      <c r="K2418" s="51" t="e">
        <f>VLOOKUP(H2418,Stock_list!A:T,16,FALSE)</f>
        <v>#N/A</v>
      </c>
      <c r="L2418" s="4">
        <v>44128</v>
      </c>
      <c r="M2418" s="132">
        <v>4</v>
      </c>
      <c r="P2418" s="4" t="e">
        <f>VLOOKUP(H2418,Stock_list!A:Y,25,FALSE)</f>
        <v>#N/A</v>
      </c>
      <c r="Q2418" s="143"/>
      <c r="T2418" s="144"/>
      <c r="U2418" s="145" t="e">
        <f>VLOOKUP(H2418,Stock_list!A:N,14,FALSE)</f>
        <v>#N/A</v>
      </c>
    </row>
    <row r="2419" spans="1:21" ht="16.5" customHeight="1">
      <c r="A2419" s="159" t="s">
        <v>266</v>
      </c>
      <c r="B2419" s="114" t="str">
        <f>VLOOKUP(A2419,'Data pick slip'!B:F,5,FALSE)</f>
        <v>KHJ-MC500-00</v>
      </c>
      <c r="F2419" s="157" t="s">
        <v>379</v>
      </c>
      <c r="H2419" s="138">
        <v>888</v>
      </c>
      <c r="I2419" s="139" t="e">
        <f>VLOOKUP(H2419,Stock_list!A:R,18,FALSE)</f>
        <v>#N/A</v>
      </c>
      <c r="J2419" s="139" t="e">
        <f>VLOOKUP(H2419,Stock_list!A:S,17,FALSE)</f>
        <v>#N/A</v>
      </c>
      <c r="K2419" s="51" t="e">
        <f>VLOOKUP(H2419,Stock_list!A:T,16,FALSE)</f>
        <v>#N/A</v>
      </c>
      <c r="L2419" s="4">
        <v>44128</v>
      </c>
      <c r="M2419" s="132">
        <v>2</v>
      </c>
      <c r="P2419" s="4" t="e">
        <f>VLOOKUP(H2419,Stock_list!A:Y,25,FALSE)</f>
        <v>#N/A</v>
      </c>
      <c r="Q2419" s="143"/>
      <c r="T2419" s="144"/>
      <c r="U2419" s="145" t="e">
        <f>VLOOKUP(H2419,Stock_list!A:N,14,FALSE)</f>
        <v>#N/A</v>
      </c>
    </row>
    <row r="2420" spans="1:21" ht="16.5" customHeight="1">
      <c r="A2420" s="159" t="s">
        <v>267</v>
      </c>
      <c r="B2420" s="114" t="str">
        <f>VLOOKUP(A2420,'Data pick slip'!B:F,5,FALSE)</f>
        <v>KHJ-MC600-00</v>
      </c>
      <c r="F2420" s="157" t="s">
        <v>379</v>
      </c>
      <c r="H2420" s="138">
        <v>888</v>
      </c>
      <c r="I2420" s="139" t="e">
        <f>VLOOKUP(H2420,Stock_list!A:R,18,FALSE)</f>
        <v>#N/A</v>
      </c>
      <c r="J2420" s="139" t="e">
        <f>VLOOKUP(H2420,Stock_list!A:S,17,FALSE)</f>
        <v>#N/A</v>
      </c>
      <c r="K2420" s="51" t="e">
        <f>VLOOKUP(H2420,Stock_list!A:T,16,FALSE)</f>
        <v>#N/A</v>
      </c>
      <c r="L2420" s="4">
        <v>44128</v>
      </c>
      <c r="M2420" s="132">
        <v>1</v>
      </c>
      <c r="P2420" s="4" t="e">
        <f>VLOOKUP(H2420,Stock_list!A:Y,25,FALSE)</f>
        <v>#N/A</v>
      </c>
      <c r="Q2420" s="143"/>
      <c r="T2420" s="144"/>
      <c r="U2420" s="145" t="e">
        <f>VLOOKUP(H2420,Stock_list!A:N,14,FALSE)</f>
        <v>#N/A</v>
      </c>
    </row>
    <row r="2421" spans="1:21" ht="16.5" customHeight="1">
      <c r="A2421" s="159" t="s">
        <v>261</v>
      </c>
      <c r="B2421" s="114" t="str">
        <f>VLOOKUP(A2421,'Data pick slip'!B:F,5,FALSE)</f>
        <v>KHJ-MC100-00</v>
      </c>
      <c r="F2421" s="157" t="s">
        <v>379</v>
      </c>
      <c r="H2421" s="138">
        <v>889</v>
      </c>
      <c r="I2421" s="139" t="e">
        <f>VLOOKUP(H2421,Stock_list!A:R,18,FALSE)</f>
        <v>#N/A</v>
      </c>
      <c r="J2421" s="139" t="e">
        <f>VLOOKUP(H2421,Stock_list!A:S,17,FALSE)</f>
        <v>#N/A</v>
      </c>
      <c r="K2421" s="51" t="e">
        <f>VLOOKUP(H2421,Stock_list!A:T,16,FALSE)</f>
        <v>#N/A</v>
      </c>
      <c r="L2421" s="4">
        <v>44222</v>
      </c>
      <c r="M2421" s="132">
        <v>25</v>
      </c>
      <c r="P2421" s="4" t="e">
        <f>VLOOKUP(H2421,Stock_list!A:Y,25,FALSE)</f>
        <v>#N/A</v>
      </c>
      <c r="Q2421" s="133"/>
      <c r="T2421" s="144"/>
      <c r="U2421" s="145" t="e">
        <f>VLOOKUP(H2421,Stock_list!A:N,14,FALSE)</f>
        <v>#N/A</v>
      </c>
    </row>
    <row r="2422" spans="1:21" ht="16.5" customHeight="1">
      <c r="A2422" s="159" t="s">
        <v>264</v>
      </c>
      <c r="B2422" s="114" t="str">
        <f>VLOOKUP(A2422,'Data pick slip'!B:F,5,FALSE)</f>
        <v>KHJ-MC200-00</v>
      </c>
      <c r="F2422" s="157" t="s">
        <v>379</v>
      </c>
      <c r="H2422" s="138">
        <v>889</v>
      </c>
      <c r="I2422" s="139" t="e">
        <f>VLOOKUP(H2422,Stock_list!A:R,18,FALSE)</f>
        <v>#N/A</v>
      </c>
      <c r="J2422" s="139" t="e">
        <f>VLOOKUP(H2422,Stock_list!A:S,17,FALSE)</f>
        <v>#N/A</v>
      </c>
      <c r="K2422" s="51" t="e">
        <f>VLOOKUP(H2422,Stock_list!A:T,16,FALSE)</f>
        <v>#N/A</v>
      </c>
      <c r="L2422" s="4">
        <v>44222</v>
      </c>
      <c r="M2422" s="132">
        <v>5</v>
      </c>
      <c r="P2422" s="4" t="e">
        <f>VLOOKUP(H2422,Stock_list!A:Y,25,FALSE)</f>
        <v>#N/A</v>
      </c>
      <c r="Q2422" s="133"/>
      <c r="T2422" s="144"/>
      <c r="U2422" s="145" t="e">
        <f>VLOOKUP(H2422,Stock_list!A:N,14,FALSE)</f>
        <v>#N/A</v>
      </c>
    </row>
    <row r="2423" spans="1:21" ht="16.5" customHeight="1">
      <c r="A2423" s="159" t="s">
        <v>261</v>
      </c>
      <c r="B2423" s="114" t="str">
        <f>VLOOKUP(A2423,'Data pick slip'!B:F,5,FALSE)</f>
        <v>KHJ-MC100-00</v>
      </c>
      <c r="F2423" s="157" t="s">
        <v>290</v>
      </c>
      <c r="I2423" s="139" t="s">
        <v>617</v>
      </c>
      <c r="J2423" s="139" t="s">
        <v>877</v>
      </c>
      <c r="K2423" s="51" t="s">
        <v>225</v>
      </c>
      <c r="L2423" s="4">
        <v>44123</v>
      </c>
      <c r="M2423" s="140">
        <v>10</v>
      </c>
      <c r="P2423" s="4" t="s">
        <v>214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267</v>
      </c>
      <c r="B2424" s="114" t="str">
        <f>VLOOKUP(A2424,'Data pick slip'!B:F,5,FALSE)</f>
        <v>KHJ-MC600-00</v>
      </c>
      <c r="F2424" s="157" t="s">
        <v>290</v>
      </c>
      <c r="I2424" s="139" t="s">
        <v>617</v>
      </c>
      <c r="J2424" s="139" t="s">
        <v>878</v>
      </c>
      <c r="K2424" s="51" t="s">
        <v>225</v>
      </c>
      <c r="L2424" s="143" t="s">
        <v>826</v>
      </c>
      <c r="M2424" s="140">
        <v>1</v>
      </c>
      <c r="P2424" s="4" t="s">
        <v>214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267</v>
      </c>
      <c r="B2425" s="114" t="str">
        <f>VLOOKUP(A2425,'Data pick slip'!B:F,5,FALSE)</f>
        <v>KHJ-MC600-00</v>
      </c>
      <c r="F2425" s="157" t="s">
        <v>379</v>
      </c>
      <c r="I2425" s="139" t="s">
        <v>533</v>
      </c>
      <c r="J2425" s="139" t="s">
        <v>879</v>
      </c>
      <c r="K2425" s="51" t="s">
        <v>225</v>
      </c>
      <c r="L2425" s="4">
        <v>44127</v>
      </c>
      <c r="M2425" s="140">
        <v>4</v>
      </c>
      <c r="P2425" s="4" t="s">
        <v>214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264</v>
      </c>
      <c r="B2426" s="114" t="str">
        <f>VLOOKUP(A2426,'Data pick slip'!B:F,5,FALSE)</f>
        <v>KHJ-MC200-00</v>
      </c>
      <c r="F2426" s="157" t="s">
        <v>379</v>
      </c>
      <c r="I2426" s="139" t="s">
        <v>533</v>
      </c>
      <c r="J2426" s="139" t="s">
        <v>879</v>
      </c>
      <c r="K2426" s="51" t="s">
        <v>225</v>
      </c>
      <c r="L2426" s="4">
        <v>44127</v>
      </c>
      <c r="M2426" s="140">
        <v>13</v>
      </c>
      <c r="P2426" s="4" t="s">
        <v>214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265</v>
      </c>
      <c r="B2427" s="114" t="str">
        <f>VLOOKUP(A2427,'Data pick slip'!B:F,5,FALSE)</f>
        <v>KHJ-MC400-00</v>
      </c>
      <c r="F2427" s="157" t="s">
        <v>379</v>
      </c>
      <c r="I2427" s="139" t="s">
        <v>533</v>
      </c>
      <c r="J2427" s="139" t="s">
        <v>879</v>
      </c>
      <c r="K2427" s="51" t="s">
        <v>225</v>
      </c>
      <c r="L2427" s="4">
        <v>44127</v>
      </c>
      <c r="M2427" s="140">
        <v>4</v>
      </c>
      <c r="P2427" s="4" t="s">
        <v>214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266</v>
      </c>
      <c r="B2428" s="114" t="str">
        <f>VLOOKUP(A2428,'Data pick slip'!B:F,5,FALSE)</f>
        <v>KHJ-MC500-00</v>
      </c>
      <c r="F2428" s="157" t="s">
        <v>379</v>
      </c>
      <c r="I2428" s="139" t="s">
        <v>533</v>
      </c>
      <c r="J2428" s="139" t="s">
        <v>879</v>
      </c>
      <c r="K2428" s="51" t="s">
        <v>225</v>
      </c>
      <c r="L2428" s="4">
        <v>44127</v>
      </c>
      <c r="M2428" s="140">
        <v>5</v>
      </c>
      <c r="P2428" s="4" t="s">
        <v>214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261</v>
      </c>
      <c r="B2429" s="114" t="str">
        <f>VLOOKUP(A2429,'Data pick slip'!B:F,5,FALSE)</f>
        <v>KHJ-MC100-00</v>
      </c>
      <c r="F2429" s="157" t="s">
        <v>379</v>
      </c>
      <c r="I2429" s="139" t="s">
        <v>533</v>
      </c>
      <c r="J2429" s="139" t="s">
        <v>879</v>
      </c>
      <c r="K2429" s="51" t="s">
        <v>225</v>
      </c>
      <c r="L2429" s="4">
        <v>44127</v>
      </c>
      <c r="M2429" s="140">
        <v>100</v>
      </c>
      <c r="P2429" s="4" t="s">
        <v>214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265</v>
      </c>
      <c r="B2430" s="114" t="str">
        <f>VLOOKUP(A2430,'Data pick slip'!B:F,5,FALSE)</f>
        <v>KHJ-MC400-00</v>
      </c>
      <c r="F2430" s="157" t="s">
        <v>379</v>
      </c>
      <c r="I2430" s="139" t="s">
        <v>533</v>
      </c>
      <c r="J2430" s="139" t="s">
        <v>879</v>
      </c>
      <c r="K2430" s="51" t="s">
        <v>225</v>
      </c>
      <c r="L2430" s="4">
        <v>44127</v>
      </c>
      <c r="M2430" s="140">
        <v>50</v>
      </c>
      <c r="P2430" s="4" t="s">
        <v>214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266</v>
      </c>
      <c r="B2431" s="114" t="str">
        <f>VLOOKUP(A2431,'Data pick slip'!B:F,5,FALSE)</f>
        <v>KHJ-MC500-00</v>
      </c>
      <c r="F2431" s="157" t="s">
        <v>379</v>
      </c>
      <c r="I2431" s="139" t="s">
        <v>533</v>
      </c>
      <c r="J2431" s="139" t="s">
        <v>879</v>
      </c>
      <c r="K2431" s="51" t="s">
        <v>225</v>
      </c>
      <c r="L2431" s="4">
        <v>44127</v>
      </c>
      <c r="M2431" s="140">
        <v>16</v>
      </c>
      <c r="P2431" s="4" t="s">
        <v>214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267</v>
      </c>
      <c r="B2432" s="114" t="str">
        <f>VLOOKUP(A2432,'Data pick slip'!B:F,5,FALSE)</f>
        <v>KHJ-MC600-00</v>
      </c>
      <c r="F2432" s="157" t="s">
        <v>379</v>
      </c>
      <c r="I2432" s="139" t="s">
        <v>533</v>
      </c>
      <c r="J2432" s="139" t="s">
        <v>879</v>
      </c>
      <c r="K2432" s="51" t="s">
        <v>225</v>
      </c>
      <c r="L2432" s="4">
        <v>44127</v>
      </c>
      <c r="M2432" s="140">
        <v>16</v>
      </c>
      <c r="P2432" s="4" t="s">
        <v>214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268</v>
      </c>
      <c r="B2433" s="114" t="str">
        <f>VLOOKUP(A2433,'Data pick slip'!B:F,5,FALSE)</f>
        <v>KHJ-MC700-00</v>
      </c>
      <c r="F2433" s="157" t="s">
        <v>379</v>
      </c>
      <c r="I2433" s="139" t="s">
        <v>533</v>
      </c>
      <c r="J2433" s="139" t="s">
        <v>879</v>
      </c>
      <c r="K2433" s="51" t="s">
        <v>225</v>
      </c>
      <c r="L2433" s="4">
        <v>44127</v>
      </c>
      <c r="M2433" s="140">
        <v>17</v>
      </c>
      <c r="P2433" s="4" t="s">
        <v>214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269</v>
      </c>
      <c r="B2434" s="114" t="str">
        <f>VLOOKUP(A2434,'Data pick slip'!B:F,5,FALSE)</f>
        <v>KHJ-MC800-00</v>
      </c>
      <c r="F2434" s="157" t="s">
        <v>379</v>
      </c>
      <c r="I2434" s="139" t="s">
        <v>533</v>
      </c>
      <c r="J2434" s="139" t="s">
        <v>879</v>
      </c>
      <c r="K2434" s="51" t="s">
        <v>225</v>
      </c>
      <c r="L2434" s="4">
        <v>44127</v>
      </c>
      <c r="M2434" s="140">
        <v>7</v>
      </c>
      <c r="P2434" s="4" t="s">
        <v>214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272</v>
      </c>
      <c r="B2435" s="114" t="str">
        <f>VLOOKUP(A2435,'Data pick slip'!B:F,5,FALSE)</f>
        <v>KLJ-MC100-00</v>
      </c>
      <c r="F2435" s="157" t="s">
        <v>290</v>
      </c>
      <c r="H2435" s="138">
        <v>895</v>
      </c>
      <c r="I2435" s="139" t="e">
        <f>VLOOKUP(H2435,Stock_list!A:R,18,FALSE)</f>
        <v>#N/A</v>
      </c>
      <c r="J2435" s="139" t="e">
        <f>VLOOKUP(H2435,Stock_list!A:S,17,FALSE)</f>
        <v>#N/A</v>
      </c>
      <c r="K2435" s="51" t="e">
        <f>VLOOKUP(H2435,Stock_list!A:T,16,FALSE)</f>
        <v>#N/A</v>
      </c>
      <c r="L2435" s="4">
        <v>44157</v>
      </c>
      <c r="M2435" s="140">
        <v>10</v>
      </c>
      <c r="P2435" s="4" t="e">
        <f>VLOOKUP(H2435,Stock_list!A:Y,25,FALSE)</f>
        <v>#N/A</v>
      </c>
      <c r="Q2435" s="133"/>
      <c r="T2435" s="144"/>
      <c r="U2435" s="145" t="e">
        <f>VLOOKUP(H2435,Stock_list!A:N,14,FALSE)</f>
        <v>#N/A</v>
      </c>
    </row>
    <row r="2436" spans="1:21" ht="16.5" customHeight="1">
      <c r="A2436" s="159" t="s">
        <v>261</v>
      </c>
      <c r="B2436" s="114" t="str">
        <f>VLOOKUP(A2436,'Data pick slip'!B:F,5,FALSE)</f>
        <v>KHJ-MC100-00</v>
      </c>
      <c r="F2436" s="157" t="s">
        <v>290</v>
      </c>
      <c r="H2436" s="138">
        <v>896</v>
      </c>
      <c r="I2436" s="139" t="e">
        <f>VLOOKUP(H2436,Stock_list!A:R,18,FALSE)</f>
        <v>#N/A</v>
      </c>
      <c r="J2436" s="139" t="e">
        <f>VLOOKUP(H2436,Stock_list!A:S,17,FALSE)</f>
        <v>#N/A</v>
      </c>
      <c r="K2436" s="51" t="e">
        <f>VLOOKUP(H2436,Stock_list!A:T,16,FALSE)</f>
        <v>#N/A</v>
      </c>
      <c r="L2436" s="4">
        <v>44190</v>
      </c>
      <c r="M2436" s="132">
        <v>2</v>
      </c>
      <c r="P2436" s="4" t="e">
        <f>VLOOKUP(H2436,Stock_list!A:Y,25,FALSE)</f>
        <v>#N/A</v>
      </c>
      <c r="Q2436" s="133"/>
      <c r="T2436" s="144"/>
      <c r="U2436" s="145" t="e">
        <f>VLOOKUP(H2436,Stock_list!A:N,14,FALSE)</f>
        <v>#N/A</v>
      </c>
    </row>
    <row r="2437" spans="1:21" ht="16.5" customHeight="1">
      <c r="A2437" s="159" t="s">
        <v>264</v>
      </c>
      <c r="B2437" s="114" t="str">
        <f>VLOOKUP(A2437,'Data pick slip'!B:F,5,FALSE)</f>
        <v>KHJ-MC200-00</v>
      </c>
      <c r="F2437" s="157" t="s">
        <v>290</v>
      </c>
      <c r="H2437" s="138">
        <v>896</v>
      </c>
      <c r="I2437" s="139" t="e">
        <f>VLOOKUP(H2437,Stock_list!A:R,18,FALSE)</f>
        <v>#N/A</v>
      </c>
      <c r="J2437" s="139" t="e">
        <f>VLOOKUP(H2437,Stock_list!A:S,17,FALSE)</f>
        <v>#N/A</v>
      </c>
      <c r="K2437" s="51" t="e">
        <f>VLOOKUP(H2437,Stock_list!A:T,16,FALSE)</f>
        <v>#N/A</v>
      </c>
      <c r="L2437" s="4">
        <v>44190</v>
      </c>
      <c r="M2437" s="132">
        <v>2</v>
      </c>
      <c r="P2437" s="4" t="e">
        <f>VLOOKUP(H2437,Stock_list!A:Y,25,FALSE)</f>
        <v>#N/A</v>
      </c>
      <c r="Q2437" s="146"/>
      <c r="T2437" s="144"/>
      <c r="U2437" s="145" t="e">
        <f>VLOOKUP(H2437,Stock_list!A:N,14,FALSE)</f>
        <v>#N/A</v>
      </c>
    </row>
    <row r="2438" spans="1:21" ht="16.5" customHeight="1">
      <c r="A2438" s="159" t="s">
        <v>261</v>
      </c>
      <c r="B2438" s="114" t="str">
        <f>VLOOKUP(A2438,'Data pick slip'!B:F,5,FALSE)</f>
        <v>KHJ-MC100-00</v>
      </c>
      <c r="F2438" s="157" t="s">
        <v>379</v>
      </c>
      <c r="I2438" s="139" t="s">
        <v>533</v>
      </c>
      <c r="J2438" s="139" t="s">
        <v>880</v>
      </c>
      <c r="K2438" s="51" t="s">
        <v>225</v>
      </c>
      <c r="L2438" s="4">
        <v>44131</v>
      </c>
      <c r="M2438" s="140">
        <v>148</v>
      </c>
      <c r="P2438" s="4" t="s">
        <v>214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265</v>
      </c>
      <c r="B2439" s="114" t="str">
        <f>VLOOKUP(A2439,'Data pick slip'!B:F,5,FALSE)</f>
        <v>KHJ-MC400-00</v>
      </c>
      <c r="F2439" s="157" t="s">
        <v>379</v>
      </c>
      <c r="I2439" s="139" t="s">
        <v>533</v>
      </c>
      <c r="J2439" s="139" t="s">
        <v>880</v>
      </c>
      <c r="K2439" s="51" t="s">
        <v>225</v>
      </c>
      <c r="L2439" s="4">
        <v>44131</v>
      </c>
      <c r="M2439" s="140">
        <v>2</v>
      </c>
      <c r="P2439" s="4" t="s">
        <v>214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261</v>
      </c>
      <c r="B2440" s="114" t="str">
        <f>VLOOKUP(A2440,'Data pick slip'!B:F,5,FALSE)</f>
        <v>KHJ-MC100-00</v>
      </c>
      <c r="F2440" s="157" t="s">
        <v>379</v>
      </c>
      <c r="H2440" s="138">
        <v>900</v>
      </c>
      <c r="I2440" s="139" t="e">
        <f>VLOOKUP(H2440,Stock_list!A:R,18,FALSE)</f>
        <v>#N/A</v>
      </c>
      <c r="J2440" s="139" t="e">
        <f>VLOOKUP(H2440,Stock_list!A:S,17,FALSE)</f>
        <v>#N/A</v>
      </c>
      <c r="K2440" s="51" t="e">
        <f>VLOOKUP(H2440,Stock_list!A:T,16,FALSE)</f>
        <v>#N/A</v>
      </c>
      <c r="L2440" s="4">
        <v>44250</v>
      </c>
      <c r="M2440" s="140">
        <v>20</v>
      </c>
      <c r="P2440" s="4" t="e">
        <f>VLOOKUP(H2440,Stock_list!A:Y,25,FALSE)</f>
        <v>#N/A</v>
      </c>
      <c r="Q2440" s="133"/>
      <c r="T2440" s="144"/>
      <c r="U2440" s="145" t="e">
        <f>VLOOKUP(H2440,Stock_list!A:N,14,FALSE)</f>
        <v>#N/A</v>
      </c>
    </row>
    <row r="2441" spans="1:21" ht="16.5" customHeight="1">
      <c r="A2441" s="159" t="s">
        <v>261</v>
      </c>
      <c r="B2441" s="114" t="str">
        <f>VLOOKUP(A2441,'Data pick slip'!B:F,5,FALSE)</f>
        <v>KHJ-MC100-00</v>
      </c>
      <c r="F2441" s="157" t="s">
        <v>290</v>
      </c>
      <c r="I2441" s="139" t="s">
        <v>611</v>
      </c>
      <c r="J2441" s="139" t="s">
        <v>881</v>
      </c>
      <c r="K2441" s="51" t="s">
        <v>225</v>
      </c>
      <c r="L2441" s="4">
        <v>44127</v>
      </c>
      <c r="M2441" s="140">
        <v>20</v>
      </c>
      <c r="P2441" s="4" t="s">
        <v>214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261</v>
      </c>
      <c r="B2442" s="114" t="str">
        <f>VLOOKUP(A2442,'Data pick slip'!B:F,5,FALSE)</f>
        <v>KHJ-MC100-00</v>
      </c>
      <c r="F2442" s="157" t="s">
        <v>290</v>
      </c>
      <c r="I2442" s="139" t="s">
        <v>611</v>
      </c>
      <c r="J2442" s="139" t="s">
        <v>882</v>
      </c>
      <c r="K2442" s="51" t="s">
        <v>225</v>
      </c>
      <c r="L2442" s="4">
        <v>44133</v>
      </c>
      <c r="M2442" s="140">
        <v>20</v>
      </c>
      <c r="P2442" s="4" t="s">
        <v>214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272</v>
      </c>
      <c r="B2443" s="114" t="str">
        <f>VLOOKUP(A2443,'Data pick slip'!B:F,5,FALSE)</f>
        <v>KLJ-MC100-00</v>
      </c>
      <c r="F2443" s="157" t="s">
        <v>379</v>
      </c>
      <c r="H2443" s="138">
        <v>901</v>
      </c>
      <c r="I2443" s="139" t="e">
        <f>VLOOKUP(H2443,Stock_list!A:R,18,FALSE)</f>
        <v>#N/A</v>
      </c>
      <c r="J2443" s="139" t="e">
        <f>VLOOKUP(H2443,Stock_list!A:S,17,FALSE)</f>
        <v>#N/A</v>
      </c>
      <c r="K2443" s="51" t="e">
        <f>VLOOKUP(H2443,Stock_list!A:T,16,FALSE)</f>
        <v>#N/A</v>
      </c>
      <c r="L2443" s="4">
        <v>44217</v>
      </c>
      <c r="M2443" s="143">
        <v>100</v>
      </c>
      <c r="P2443" s="4" t="e">
        <f>VLOOKUP(H2443,Stock_list!A:Y,25,FALSE)</f>
        <v>#N/A</v>
      </c>
      <c r="Q2443" s="133"/>
      <c r="T2443" s="144"/>
      <c r="U2443" s="145" t="e">
        <f>VLOOKUP(H2443,Stock_list!A:N,14,FALSE)</f>
        <v>#N/A</v>
      </c>
    </row>
    <row r="2444" spans="1:21" ht="16.5" customHeight="1">
      <c r="A2444" s="159" t="s">
        <v>273</v>
      </c>
      <c r="B2444" s="114" t="str">
        <f>VLOOKUP(A2444,'Data pick slip'!B:F,5,FALSE)</f>
        <v>KLJ-MC200-00</v>
      </c>
      <c r="F2444" s="157" t="s">
        <v>270</v>
      </c>
      <c r="H2444" s="138">
        <v>901</v>
      </c>
      <c r="I2444" s="139" t="e">
        <f>VLOOKUP(H2444,Stock_list!A:R,18,FALSE)</f>
        <v>#N/A</v>
      </c>
      <c r="J2444" s="139" t="e">
        <f>VLOOKUP(H2444,Stock_list!A:S,17,FALSE)</f>
        <v>#N/A</v>
      </c>
      <c r="K2444" s="51" t="e">
        <f>VLOOKUP(H2444,Stock_list!A:T,16,FALSE)</f>
        <v>#N/A</v>
      </c>
      <c r="L2444" s="4">
        <v>44217</v>
      </c>
      <c r="M2444" s="143">
        <v>10</v>
      </c>
      <c r="P2444" s="4" t="e">
        <f>VLOOKUP(H2444,Stock_list!A:Y,25,FALSE)</f>
        <v>#N/A</v>
      </c>
      <c r="S2444" s="268" t="s">
        <v>295</v>
      </c>
      <c r="T2444" s="266" t="s">
        <v>883</v>
      </c>
      <c r="U2444" s="145" t="e">
        <f>VLOOKUP(H2444,Stock_list!A:N,14,FALSE)</f>
        <v>#N/A</v>
      </c>
    </row>
    <row r="2445" spans="1:21" ht="16.5" customHeight="1">
      <c r="A2445" s="159" t="s">
        <v>261</v>
      </c>
      <c r="B2445" s="114" t="str">
        <f>VLOOKUP(A2445,'Data pick slip'!B:F,5,FALSE)</f>
        <v>KHJ-MC100-00</v>
      </c>
      <c r="F2445" s="157" t="s">
        <v>290</v>
      </c>
      <c r="I2445" s="139" t="s">
        <v>611</v>
      </c>
      <c r="J2445" s="139" t="s">
        <v>884</v>
      </c>
      <c r="K2445" s="51" t="s">
        <v>225</v>
      </c>
      <c r="L2445" s="4">
        <v>44137</v>
      </c>
      <c r="M2445" s="140">
        <v>3</v>
      </c>
      <c r="P2445" s="4" t="s">
        <v>214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261</v>
      </c>
      <c r="B2446" s="114" t="str">
        <f>VLOOKUP(A2446,'Data pick slip'!B:F,5,FALSE)</f>
        <v>KHJ-MC100-00</v>
      </c>
      <c r="F2446" s="157" t="s">
        <v>290</v>
      </c>
      <c r="I2446" s="139" t="s">
        <v>611</v>
      </c>
      <c r="J2446" s="139" t="s">
        <v>885</v>
      </c>
      <c r="K2446" s="51" t="s">
        <v>225</v>
      </c>
      <c r="L2446" s="4">
        <v>44134</v>
      </c>
      <c r="M2446" s="140">
        <v>60</v>
      </c>
      <c r="P2446" s="4" t="s">
        <v>214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261</v>
      </c>
      <c r="B2447" s="114" t="str">
        <f>VLOOKUP(A2447,'Data pick slip'!B:F,5,FALSE)</f>
        <v>KHJ-MC100-00</v>
      </c>
      <c r="F2447" s="157" t="s">
        <v>379</v>
      </c>
      <c r="H2447" s="138">
        <v>904</v>
      </c>
      <c r="I2447" s="139" t="e">
        <f>VLOOKUP(H2447,Stock_list!A:R,18,FALSE)</f>
        <v>#N/A</v>
      </c>
      <c r="J2447" s="139" t="e">
        <f>VLOOKUP(H2447,Stock_list!A:S,17,FALSE)</f>
        <v>#N/A</v>
      </c>
      <c r="K2447" s="51" t="e">
        <f>VLOOKUP(H2447,Stock_list!A:T,16,FALSE)</f>
        <v>#N/A</v>
      </c>
      <c r="L2447" s="4">
        <v>44158</v>
      </c>
      <c r="M2447" s="140">
        <v>20</v>
      </c>
      <c r="N2447" s="143"/>
      <c r="P2447" s="4" t="e">
        <f>VLOOKUP(H2447,Stock_list!A:Y,25,FALSE)</f>
        <v>#N/A</v>
      </c>
      <c r="Q2447" s="133"/>
      <c r="T2447" s="144"/>
      <c r="U2447" s="145" t="e">
        <f>VLOOKUP(H2447,Stock_list!A:N,14,FALSE)</f>
        <v>#N/A</v>
      </c>
    </row>
    <row r="2448" spans="1:21" ht="16.5" customHeight="1">
      <c r="A2448" s="159" t="s">
        <v>261</v>
      </c>
      <c r="B2448" s="114" t="str">
        <f>VLOOKUP(A2448,'Data pick slip'!B:F,5,FALSE)</f>
        <v>KHJ-MC100-00</v>
      </c>
      <c r="F2448" s="157" t="s">
        <v>379</v>
      </c>
      <c r="I2448" s="139" t="s">
        <v>533</v>
      </c>
      <c r="J2448" s="139" t="s">
        <v>886</v>
      </c>
      <c r="K2448" s="51" t="s">
        <v>225</v>
      </c>
      <c r="L2448" s="4">
        <v>44137</v>
      </c>
      <c r="M2448" s="140">
        <v>152</v>
      </c>
      <c r="P2448" s="4" t="s">
        <v>214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264</v>
      </c>
      <c r="B2449" s="114" t="str">
        <f>VLOOKUP(A2449,'Data pick slip'!B:F,5,FALSE)</f>
        <v>KHJ-MC200-00</v>
      </c>
      <c r="F2449" s="157" t="s">
        <v>379</v>
      </c>
      <c r="I2449" s="139" t="s">
        <v>533</v>
      </c>
      <c r="J2449" s="139" t="s">
        <v>886</v>
      </c>
      <c r="K2449" s="51" t="s">
        <v>225</v>
      </c>
      <c r="L2449" s="4">
        <v>44137</v>
      </c>
      <c r="M2449" s="140">
        <v>31</v>
      </c>
      <c r="P2449" s="4" t="s">
        <v>214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266</v>
      </c>
      <c r="B2450" s="114" t="str">
        <f>VLOOKUP(A2450,'Data pick slip'!B:F,5,FALSE)</f>
        <v>KHJ-MC500-00</v>
      </c>
      <c r="F2450" s="157" t="s">
        <v>379</v>
      </c>
      <c r="I2450" s="139" t="s">
        <v>533</v>
      </c>
      <c r="J2450" s="139" t="s">
        <v>886</v>
      </c>
      <c r="K2450" s="51" t="s">
        <v>225</v>
      </c>
      <c r="L2450" s="4">
        <v>44137</v>
      </c>
      <c r="M2450" s="140">
        <v>1</v>
      </c>
      <c r="P2450" s="4" t="s">
        <v>214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261</v>
      </c>
      <c r="B2451" s="114" t="str">
        <f>VLOOKUP(A2451,'Data pick slip'!B:F,5,FALSE)</f>
        <v>KHJ-MC100-00</v>
      </c>
      <c r="F2451" s="157" t="s">
        <v>290</v>
      </c>
      <c r="I2451" s="139" t="s">
        <v>611</v>
      </c>
      <c r="J2451" s="139" t="s">
        <v>887</v>
      </c>
      <c r="K2451" s="51" t="s">
        <v>225</v>
      </c>
      <c r="L2451" s="4">
        <v>44119</v>
      </c>
      <c r="M2451" s="140">
        <v>110</v>
      </c>
      <c r="P2451" s="4" t="s">
        <v>214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264</v>
      </c>
      <c r="B2452" s="114" t="str">
        <f>VLOOKUP(A2452,'Data pick slip'!B:F,5,FALSE)</f>
        <v>KHJ-MC200-00</v>
      </c>
      <c r="F2452" s="157" t="s">
        <v>290</v>
      </c>
      <c r="I2452" s="139" t="s">
        <v>611</v>
      </c>
      <c r="J2452" s="139" t="s">
        <v>887</v>
      </c>
      <c r="K2452" s="51" t="s">
        <v>225</v>
      </c>
      <c r="L2452" s="4">
        <v>44119</v>
      </c>
      <c r="M2452" s="140">
        <v>10</v>
      </c>
      <c r="P2452" s="4" t="s">
        <v>214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261</v>
      </c>
      <c r="B2453" s="114" t="str">
        <f>VLOOKUP(A2453,'Data pick slip'!B:F,5,FALSE)</f>
        <v>KHJ-MC100-00</v>
      </c>
      <c r="F2453" s="157" t="s">
        <v>290</v>
      </c>
      <c r="I2453" s="139" t="s">
        <v>611</v>
      </c>
      <c r="J2453" s="139" t="s">
        <v>887</v>
      </c>
      <c r="K2453" s="51" t="s">
        <v>225</v>
      </c>
      <c r="L2453" s="4">
        <v>44125</v>
      </c>
      <c r="M2453" s="140">
        <v>30</v>
      </c>
      <c r="P2453" s="4" t="s">
        <v>214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267</v>
      </c>
      <c r="B2454" s="114" t="str">
        <f>VLOOKUP(A2454,'Data pick slip'!B:F,5,FALSE)</f>
        <v>KHJ-MC600-00</v>
      </c>
      <c r="F2454" s="157" t="s">
        <v>290</v>
      </c>
      <c r="I2454" s="139" t="s">
        <v>611</v>
      </c>
      <c r="J2454" s="139" t="s">
        <v>888</v>
      </c>
      <c r="K2454" s="51" t="s">
        <v>225</v>
      </c>
      <c r="L2454" s="4">
        <v>44138</v>
      </c>
      <c r="M2454" s="140">
        <v>1</v>
      </c>
      <c r="P2454" s="4" t="s">
        <v>214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268</v>
      </c>
      <c r="B2455" s="114" t="str">
        <f>VLOOKUP(A2455,'Data pick slip'!B:F,5,FALSE)</f>
        <v>KHJ-MC700-00</v>
      </c>
      <c r="F2455" s="157" t="s">
        <v>290</v>
      </c>
      <c r="I2455" s="139" t="s">
        <v>611</v>
      </c>
      <c r="J2455" s="139" t="s">
        <v>888</v>
      </c>
      <c r="K2455" s="51" t="s">
        <v>225</v>
      </c>
      <c r="L2455" s="4">
        <v>44138</v>
      </c>
      <c r="M2455" s="140">
        <v>1</v>
      </c>
      <c r="P2455" s="4" t="s">
        <v>214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264</v>
      </c>
      <c r="B2456" s="114" t="str">
        <f>VLOOKUP(A2456,'Data pick slip'!B:F,5,FALSE)</f>
        <v>KHJ-MC200-00</v>
      </c>
      <c r="F2456" s="157" t="s">
        <v>290</v>
      </c>
      <c r="I2456" s="139" t="s">
        <v>617</v>
      </c>
      <c r="J2456" s="139" t="s">
        <v>889</v>
      </c>
      <c r="K2456" s="51" t="s">
        <v>225</v>
      </c>
      <c r="L2456" s="143" t="s">
        <v>826</v>
      </c>
      <c r="M2456" s="140">
        <v>4</v>
      </c>
      <c r="P2456" s="4" t="s">
        <v>214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261</v>
      </c>
      <c r="B2457" s="114" t="str">
        <f>VLOOKUP(A2457,'Data pick slip'!B:F,5,FALSE)</f>
        <v>KHJ-MC100-00</v>
      </c>
      <c r="F2457" s="157" t="s">
        <v>379</v>
      </c>
      <c r="H2457" s="138">
        <v>907</v>
      </c>
      <c r="I2457" s="139" t="e">
        <f>VLOOKUP(H2457,Stock_list!A:R,18,FALSE)</f>
        <v>#N/A</v>
      </c>
      <c r="J2457" s="139" t="e">
        <f>VLOOKUP(H2457,Stock_list!A:S,17,FALSE)</f>
        <v>#N/A</v>
      </c>
      <c r="K2457" s="51" t="e">
        <f>VLOOKUP(H2457,Stock_list!A:T,16,FALSE)</f>
        <v>#N/A</v>
      </c>
      <c r="L2457" s="4">
        <v>44204</v>
      </c>
      <c r="M2457" s="143">
        <v>150</v>
      </c>
      <c r="P2457" s="4" t="e">
        <f>VLOOKUP(H2457,Stock_list!A:Y,25,FALSE)</f>
        <v>#N/A</v>
      </c>
      <c r="Q2457" s="133"/>
      <c r="T2457" s="144"/>
      <c r="U2457" s="145" t="e">
        <f>VLOOKUP(H2457,Stock_list!A:N,14,FALSE)</f>
        <v>#N/A</v>
      </c>
    </row>
    <row r="2458" spans="1:21" ht="16.5" customHeight="1">
      <c r="A2458" s="159" t="s">
        <v>264</v>
      </c>
      <c r="B2458" s="114" t="str">
        <f>VLOOKUP(A2458,'Data pick slip'!B:F,5,FALSE)</f>
        <v>KHJ-MC200-00</v>
      </c>
      <c r="F2458" s="157" t="s">
        <v>379</v>
      </c>
      <c r="H2458" s="138">
        <v>907</v>
      </c>
      <c r="I2458" s="139" t="e">
        <f>VLOOKUP(H2458,Stock_list!A:R,18,FALSE)</f>
        <v>#N/A</v>
      </c>
      <c r="J2458" s="139" t="e">
        <f>VLOOKUP(H2458,Stock_list!A:S,17,FALSE)</f>
        <v>#N/A</v>
      </c>
      <c r="K2458" s="51" t="e">
        <f>VLOOKUP(H2458,Stock_list!A:T,16,FALSE)</f>
        <v>#N/A</v>
      </c>
      <c r="L2458" s="4">
        <v>44204</v>
      </c>
      <c r="M2458" s="143">
        <v>8</v>
      </c>
      <c r="P2458" s="4" t="e">
        <f>VLOOKUP(H2458,Stock_list!A:Y,25,FALSE)</f>
        <v>#N/A</v>
      </c>
      <c r="Q2458" s="133"/>
      <c r="T2458" s="144"/>
      <c r="U2458" s="145" t="e">
        <f>VLOOKUP(H2458,Stock_list!A:N,14,FALSE)</f>
        <v>#N/A</v>
      </c>
    </row>
    <row r="2459" spans="1:21" ht="16.5" customHeight="1">
      <c r="A2459" s="159" t="s">
        <v>265</v>
      </c>
      <c r="B2459" s="114" t="str">
        <f>VLOOKUP(A2459,'Data pick slip'!B:F,5,FALSE)</f>
        <v>KHJ-MC400-00</v>
      </c>
      <c r="F2459" s="157" t="s">
        <v>379</v>
      </c>
      <c r="H2459" s="138">
        <v>907</v>
      </c>
      <c r="I2459" s="139" t="e">
        <f>VLOOKUP(H2459,Stock_list!A:R,18,FALSE)</f>
        <v>#N/A</v>
      </c>
      <c r="J2459" s="286" t="e">
        <f>VLOOKUP(H2459,Stock_list!A:S,17,FALSE)</f>
        <v>#N/A</v>
      </c>
      <c r="K2459" s="259" t="e">
        <f>VLOOKUP(H2459,Stock_list!A:T,16,FALSE)</f>
        <v>#N/A</v>
      </c>
      <c r="L2459" s="287">
        <v>44204</v>
      </c>
      <c r="M2459" s="289">
        <v>5</v>
      </c>
      <c r="P2459" s="4" t="e">
        <f>VLOOKUP(H2459,Stock_list!A:Y,25,FALSE)</f>
        <v>#N/A</v>
      </c>
      <c r="Q2459" s="133"/>
      <c r="T2459" s="144"/>
      <c r="U2459" s="145" t="e">
        <f>VLOOKUP(H2459,Stock_list!A:N,14,FALSE)</f>
        <v>#N/A</v>
      </c>
    </row>
    <row r="2460" spans="1:21" ht="16.5" customHeight="1">
      <c r="A2460" s="159" t="s">
        <v>266</v>
      </c>
      <c r="B2460" s="114" t="str">
        <f>VLOOKUP(A2460,'Data pick slip'!B:F,5,FALSE)</f>
        <v>KHJ-MC500-00</v>
      </c>
      <c r="F2460" s="157" t="s">
        <v>290</v>
      </c>
      <c r="H2460" s="138">
        <v>907</v>
      </c>
      <c r="I2460" s="139" t="e">
        <f>VLOOKUP(H2460,Stock_list!A:R,18,FALSE)</f>
        <v>#N/A</v>
      </c>
      <c r="J2460" s="139" t="e">
        <f>VLOOKUP(H2460,Stock_list!A:S,17,FALSE)</f>
        <v>#N/A</v>
      </c>
      <c r="K2460" s="51" t="e">
        <f>VLOOKUP(H2460,Stock_list!A:T,16,FALSE)</f>
        <v>#N/A</v>
      </c>
      <c r="L2460" s="4">
        <v>44204</v>
      </c>
      <c r="M2460" s="143">
        <v>2</v>
      </c>
      <c r="P2460" s="4" t="e">
        <f>VLOOKUP(H2460,Stock_list!A:Y,25,FALSE)</f>
        <v>#N/A</v>
      </c>
      <c r="Q2460" s="133"/>
      <c r="S2460" s="268" t="s">
        <v>295</v>
      </c>
      <c r="T2460" s="266" t="s">
        <v>890</v>
      </c>
      <c r="U2460" s="145" t="e">
        <f>VLOOKUP(H2460,Stock_list!A:N,14,FALSE)</f>
        <v>#N/A</v>
      </c>
    </row>
    <row r="2461" spans="1:21" ht="16.5" customHeight="1">
      <c r="A2461" s="159" t="s">
        <v>267</v>
      </c>
      <c r="B2461" s="114" t="str">
        <f>VLOOKUP(A2461,'Data pick slip'!B:F,5,FALSE)</f>
        <v>KHJ-MC600-00</v>
      </c>
      <c r="F2461" s="157" t="s">
        <v>290</v>
      </c>
      <c r="H2461" s="138">
        <v>907</v>
      </c>
      <c r="I2461" s="139" t="e">
        <f>VLOOKUP(H2461,Stock_list!A:R,18,FALSE)</f>
        <v>#N/A</v>
      </c>
      <c r="J2461" s="139" t="e">
        <f>VLOOKUP(H2461,Stock_list!A:S,17,FALSE)</f>
        <v>#N/A</v>
      </c>
      <c r="K2461" s="51" t="e">
        <f>VLOOKUP(H2461,Stock_list!A:T,16,FALSE)</f>
        <v>#N/A</v>
      </c>
      <c r="L2461" s="4">
        <v>44204</v>
      </c>
      <c r="M2461" s="143">
        <v>2</v>
      </c>
      <c r="P2461" s="4" t="e">
        <f>VLOOKUP(H2461,Stock_list!A:Y,25,FALSE)</f>
        <v>#N/A</v>
      </c>
      <c r="Q2461" s="133"/>
      <c r="S2461" s="268" t="s">
        <v>295</v>
      </c>
      <c r="T2461" s="266" t="s">
        <v>890</v>
      </c>
      <c r="U2461" s="145" t="e">
        <f>VLOOKUP(H2461,Stock_list!A:N,14,FALSE)</f>
        <v>#N/A</v>
      </c>
    </row>
    <row r="2462" spans="1:21" ht="16.5" customHeight="1">
      <c r="A2462" s="159" t="s">
        <v>261</v>
      </c>
      <c r="B2462" s="114" t="str">
        <f>VLOOKUP(A2462,'Data pick slip'!B:F,5,FALSE)</f>
        <v>KHJ-MC100-00</v>
      </c>
      <c r="F2462" s="157" t="s">
        <v>379</v>
      </c>
      <c r="H2462" s="138">
        <v>909</v>
      </c>
      <c r="I2462" s="139" t="e">
        <f>VLOOKUP(H2462,Stock_list!A:R,18,FALSE)</f>
        <v>#N/A</v>
      </c>
      <c r="J2462" s="139" t="e">
        <f>VLOOKUP(H2462,Stock_list!A:S,17,FALSE)</f>
        <v>#N/A</v>
      </c>
      <c r="K2462" s="51" t="e">
        <f>VLOOKUP(H2462,Stock_list!A:T,16,FALSE)</f>
        <v>#N/A</v>
      </c>
      <c r="L2462" s="4">
        <v>44225</v>
      </c>
      <c r="M2462" s="143">
        <v>160</v>
      </c>
      <c r="P2462" s="4" t="e">
        <f>VLOOKUP(H2462,Stock_list!A:Y,25,FALSE)</f>
        <v>#N/A</v>
      </c>
      <c r="Q2462" s="133"/>
      <c r="T2462" s="144"/>
      <c r="U2462" s="145" t="e">
        <f>VLOOKUP(H2462,Stock_list!A:N,14,FALSE)</f>
        <v>#N/A</v>
      </c>
    </row>
    <row r="2463" spans="1:21" ht="16.5" customHeight="1">
      <c r="A2463" s="159" t="s">
        <v>264</v>
      </c>
      <c r="B2463" s="114" t="str">
        <f>VLOOKUP(A2463,'Data pick slip'!B:F,5,FALSE)</f>
        <v>KHJ-MC200-00</v>
      </c>
      <c r="F2463" s="157" t="s">
        <v>379</v>
      </c>
      <c r="H2463" s="138">
        <v>909</v>
      </c>
      <c r="I2463" s="139" t="e">
        <f>VLOOKUP(H2463,Stock_list!A:R,18,FALSE)</f>
        <v>#N/A</v>
      </c>
      <c r="J2463" s="139" t="e">
        <f>VLOOKUP(H2463,Stock_list!A:S,17,FALSE)</f>
        <v>#N/A</v>
      </c>
      <c r="K2463" s="51" t="e">
        <f>VLOOKUP(H2463,Stock_list!A:T,16,FALSE)</f>
        <v>#N/A</v>
      </c>
      <c r="L2463" s="4">
        <v>44225</v>
      </c>
      <c r="M2463" s="143">
        <v>20</v>
      </c>
      <c r="P2463" s="4" t="e">
        <f>VLOOKUP(H2463,Stock_list!A:Y,25,FALSE)</f>
        <v>#N/A</v>
      </c>
      <c r="Q2463" s="133"/>
      <c r="T2463" s="144"/>
      <c r="U2463" s="145" t="e">
        <f>VLOOKUP(H2463,Stock_list!A:N,14,FALSE)</f>
        <v>#N/A</v>
      </c>
    </row>
    <row r="2464" spans="1:21" ht="16.5" customHeight="1">
      <c r="A2464" s="159" t="s">
        <v>261</v>
      </c>
      <c r="B2464" s="114" t="str">
        <f>VLOOKUP(A2464,'Data pick slip'!B:F,5,FALSE)</f>
        <v>KHJ-MC100-00</v>
      </c>
      <c r="F2464" s="157" t="s">
        <v>379</v>
      </c>
      <c r="H2464" s="138">
        <v>912</v>
      </c>
      <c r="I2464" s="139" t="e">
        <f>VLOOKUP(H2464,Stock_list!A:R,18,FALSE)</f>
        <v>#N/A</v>
      </c>
      <c r="J2464" s="139" t="e">
        <f>VLOOKUP(H2464,Stock_list!A:S,17,FALSE)</f>
        <v>#N/A</v>
      </c>
      <c r="K2464" s="51" t="e">
        <f>VLOOKUP(H2464,Stock_list!A:T,16,FALSE)</f>
        <v>#N/A</v>
      </c>
      <c r="L2464" s="4">
        <v>44203</v>
      </c>
      <c r="M2464" s="143">
        <v>200</v>
      </c>
      <c r="P2464" s="4" t="e">
        <f>VLOOKUP(H2464,Stock_list!A:Y,25,FALSE)</f>
        <v>#N/A</v>
      </c>
      <c r="Q2464" s="133"/>
      <c r="T2464" s="144"/>
      <c r="U2464" s="145" t="e">
        <f>VLOOKUP(H2464,Stock_list!A:N,14,FALSE)</f>
        <v>#N/A</v>
      </c>
    </row>
    <row r="2465" spans="1:21" ht="16.5" customHeight="1">
      <c r="A2465" s="159" t="s">
        <v>264</v>
      </c>
      <c r="B2465" s="114" t="str">
        <f>VLOOKUP(A2465,'Data pick slip'!B:F,5,FALSE)</f>
        <v>KHJ-MC200-00</v>
      </c>
      <c r="F2465" s="157" t="s">
        <v>379</v>
      </c>
      <c r="H2465" s="138">
        <v>912</v>
      </c>
      <c r="I2465" s="139" t="e">
        <f>VLOOKUP(H2465,Stock_list!A:R,18,FALSE)</f>
        <v>#N/A</v>
      </c>
      <c r="J2465" s="139" t="e">
        <f>VLOOKUP(H2465,Stock_list!A:S,17,FALSE)</f>
        <v>#N/A</v>
      </c>
      <c r="K2465" s="51" t="e">
        <f>VLOOKUP(H2465,Stock_list!A:T,16,FALSE)</f>
        <v>#N/A</v>
      </c>
      <c r="L2465" s="4">
        <v>44203</v>
      </c>
      <c r="M2465" s="143">
        <v>34</v>
      </c>
      <c r="P2465" s="4" t="e">
        <f>VLOOKUP(H2465,Stock_list!A:Y,25,FALSE)</f>
        <v>#N/A</v>
      </c>
      <c r="Q2465" s="133"/>
      <c r="T2465" s="144"/>
      <c r="U2465" s="145" t="e">
        <f>VLOOKUP(H2465,Stock_list!A:N,14,FALSE)</f>
        <v>#N/A</v>
      </c>
    </row>
    <row r="2466" spans="1:21" ht="16.5" customHeight="1">
      <c r="A2466" s="159" t="s">
        <v>264</v>
      </c>
      <c r="B2466" s="114" t="str">
        <f>VLOOKUP(A2466,'Data pick slip'!B:F,5,FALSE)</f>
        <v>KHJ-MC200-00</v>
      </c>
      <c r="F2466" s="157" t="s">
        <v>227</v>
      </c>
      <c r="H2466" s="138">
        <v>912</v>
      </c>
      <c r="I2466" s="139" t="e">
        <f>VLOOKUP(H2466,Stock_list!A:R,18,FALSE)</f>
        <v>#N/A</v>
      </c>
      <c r="J2466" s="139" t="e">
        <f>VLOOKUP(H2466,Stock_list!A:S,17,FALSE)</f>
        <v>#N/A</v>
      </c>
      <c r="K2466" s="51" t="e">
        <f>VLOOKUP(H2466,Stock_list!A:T,16,FALSE)</f>
        <v>#N/A</v>
      </c>
      <c r="L2466" s="4">
        <v>44203</v>
      </c>
      <c r="M2466" s="143">
        <v>6</v>
      </c>
      <c r="P2466" s="4" t="e">
        <f>VLOOKUP(H2466,Stock_list!A:Y,25,FALSE)</f>
        <v>#N/A</v>
      </c>
      <c r="Q2466" s="133"/>
      <c r="T2466" s="144"/>
      <c r="U2466" s="145" t="e">
        <f>VLOOKUP(H2466,Stock_list!A:N,14,FALSE)</f>
        <v>#N/A</v>
      </c>
    </row>
    <row r="2467" spans="1:21" ht="16.5" customHeight="1">
      <c r="A2467" s="159" t="s">
        <v>264</v>
      </c>
      <c r="B2467" s="114" t="str">
        <f>VLOOKUP(A2467,'Data pick slip'!B:F,5,FALSE)</f>
        <v>KHJ-MC200-00</v>
      </c>
      <c r="F2467" s="157" t="s">
        <v>290</v>
      </c>
      <c r="H2467" s="138">
        <v>912</v>
      </c>
      <c r="I2467" s="139" t="e">
        <f>VLOOKUP(H2467,Stock_list!A:R,18,FALSE)</f>
        <v>#N/A</v>
      </c>
      <c r="J2467" s="139" t="e">
        <f>VLOOKUP(H2467,Stock_list!A:S,17,FALSE)</f>
        <v>#N/A</v>
      </c>
      <c r="K2467" s="51" t="e">
        <f>VLOOKUP(H2467,Stock_list!A:T,16,FALSE)</f>
        <v>#N/A</v>
      </c>
      <c r="L2467" s="4">
        <v>44203</v>
      </c>
      <c r="M2467" s="143"/>
      <c r="O2467" s="132">
        <f>6-6</f>
        <v>0</v>
      </c>
      <c r="P2467" s="4" t="e">
        <f>VLOOKUP(H2467,Stock_list!A:Y,25,FALSE)</f>
        <v>#N/A</v>
      </c>
      <c r="Q2467" s="133"/>
      <c r="T2467" s="144"/>
      <c r="U2467" s="145" t="e">
        <f>VLOOKUP(H2467,Stock_list!A:N,14,FALSE)</f>
        <v>#N/A</v>
      </c>
    </row>
    <row r="2468" spans="1:21" ht="16.5" customHeight="1">
      <c r="A2468" s="159" t="s">
        <v>261</v>
      </c>
      <c r="B2468" s="114" t="str">
        <f>VLOOKUP(A2468,'Data pick slip'!B:F,5,FALSE)</f>
        <v>KHJ-MC100-00</v>
      </c>
      <c r="F2468" s="157" t="s">
        <v>379</v>
      </c>
      <c r="H2468" s="138">
        <v>905</v>
      </c>
      <c r="I2468" s="139" t="e">
        <f>VLOOKUP(H2468,Stock_list!A:R,18,FALSE)</f>
        <v>#N/A</v>
      </c>
      <c r="J2468" s="139" t="e">
        <f>VLOOKUP(H2468,Stock_list!A:S,17,FALSE)</f>
        <v>#N/A</v>
      </c>
      <c r="K2468" s="51" t="e">
        <f>VLOOKUP(H2468,Stock_list!A:T,16,FALSE)</f>
        <v>#N/A</v>
      </c>
      <c r="L2468" s="4">
        <v>44203</v>
      </c>
      <c r="M2468" s="143">
        <v>25</v>
      </c>
      <c r="P2468" s="4" t="e">
        <f>VLOOKUP(H2468,Stock_list!A:Y,25,FALSE)</f>
        <v>#N/A</v>
      </c>
      <c r="Q2468" s="133"/>
      <c r="T2468" s="144"/>
      <c r="U2468" s="145" t="e">
        <f>VLOOKUP(H2468,Stock_list!A:N,14,FALSE)</f>
        <v>#N/A</v>
      </c>
    </row>
    <row r="2469" spans="1:21" ht="16.5" customHeight="1">
      <c r="A2469" s="159" t="s">
        <v>264</v>
      </c>
      <c r="B2469" s="114" t="str">
        <f>VLOOKUP(A2469,'Data pick slip'!B:F,5,FALSE)</f>
        <v>KHJ-MC200-00</v>
      </c>
      <c r="F2469" s="157" t="s">
        <v>379</v>
      </c>
      <c r="H2469" s="138">
        <v>905</v>
      </c>
      <c r="I2469" s="139" t="e">
        <f>VLOOKUP(H2469,Stock_list!A:R,18,FALSE)</f>
        <v>#N/A</v>
      </c>
      <c r="J2469" s="139" t="e">
        <f>VLOOKUP(H2469,Stock_list!A:S,17,FALSE)</f>
        <v>#N/A</v>
      </c>
      <c r="K2469" s="51" t="e">
        <f>VLOOKUP(H2469,Stock_list!A:T,16,FALSE)</f>
        <v>#N/A</v>
      </c>
      <c r="L2469" s="4">
        <v>44203</v>
      </c>
      <c r="M2469" s="143">
        <v>7</v>
      </c>
      <c r="P2469" s="4" t="e">
        <f>VLOOKUP(H2469,Stock_list!A:Y,25,FALSE)</f>
        <v>#N/A</v>
      </c>
      <c r="Q2469" s="133"/>
      <c r="T2469" s="144"/>
      <c r="U2469" s="145" t="e">
        <f>VLOOKUP(H2469,Stock_list!A:N,14,FALSE)</f>
        <v>#N/A</v>
      </c>
    </row>
    <row r="2470" spans="1:21" ht="16.5" customHeight="1">
      <c r="A2470" s="159" t="s">
        <v>265</v>
      </c>
      <c r="B2470" s="114" t="str">
        <f>VLOOKUP(A2470,'Data pick slip'!B:F,5,FALSE)</f>
        <v>KHJ-MC400-00</v>
      </c>
      <c r="F2470" s="157" t="s">
        <v>379</v>
      </c>
      <c r="H2470" s="138">
        <v>905</v>
      </c>
      <c r="I2470" s="139" t="e">
        <f>VLOOKUP(H2470,Stock_list!A:R,18,FALSE)</f>
        <v>#N/A</v>
      </c>
      <c r="J2470" s="286" t="e">
        <f>VLOOKUP(H2470,Stock_list!A:S,17,FALSE)</f>
        <v>#N/A</v>
      </c>
      <c r="K2470" s="259" t="e">
        <f>VLOOKUP(H2470,Stock_list!A:T,16,FALSE)</f>
        <v>#N/A</v>
      </c>
      <c r="L2470" s="287">
        <v>44203</v>
      </c>
      <c r="M2470" s="289">
        <v>4</v>
      </c>
      <c r="P2470" s="4" t="e">
        <f>VLOOKUP(H2470,Stock_list!A:Y,25,FALSE)</f>
        <v>#N/A</v>
      </c>
      <c r="Q2470" s="133"/>
      <c r="T2470" s="144"/>
      <c r="U2470" s="145" t="e">
        <f>VLOOKUP(H2470,Stock_list!A:N,14,FALSE)</f>
        <v>#N/A</v>
      </c>
    </row>
    <row r="2471" spans="1:21" ht="16.5" customHeight="1">
      <c r="A2471" s="159" t="s">
        <v>261</v>
      </c>
      <c r="B2471" s="114" t="str">
        <f>VLOOKUP(A2471,'Data pick slip'!B:F,5,FALSE)</f>
        <v>KHJ-MC100-00</v>
      </c>
      <c r="F2471" s="157" t="s">
        <v>379</v>
      </c>
      <c r="H2471" s="138">
        <v>905</v>
      </c>
      <c r="I2471" s="139" t="e">
        <f>VLOOKUP(H2471,Stock_list!A:R,18,FALSE)</f>
        <v>#N/A</v>
      </c>
      <c r="J2471" s="139" t="e">
        <f>VLOOKUP(H2471,Stock_list!A:S,17,FALSE)</f>
        <v>#N/A</v>
      </c>
      <c r="K2471" s="51" t="e">
        <f>VLOOKUP(H2471,Stock_list!A:T,16,FALSE)</f>
        <v>#N/A</v>
      </c>
      <c r="L2471" s="4">
        <v>44218</v>
      </c>
      <c r="M2471" s="143">
        <v>25</v>
      </c>
      <c r="P2471" s="4" t="e">
        <f>VLOOKUP(H2471,Stock_list!A:Y,25,FALSE)</f>
        <v>#N/A</v>
      </c>
      <c r="Q2471" s="133"/>
      <c r="T2471" s="144"/>
      <c r="U2471" s="145" t="e">
        <f>VLOOKUP(H2471,Stock_list!A:N,14,FALSE)</f>
        <v>#N/A</v>
      </c>
    </row>
    <row r="2472" spans="1:21" ht="16.5" customHeight="1">
      <c r="A2472" s="159" t="s">
        <v>264</v>
      </c>
      <c r="B2472" s="114" t="str">
        <f>VLOOKUP(A2472,'Data pick slip'!B:F,5,FALSE)</f>
        <v>KHJ-MC200-00</v>
      </c>
      <c r="F2472" s="157" t="s">
        <v>379</v>
      </c>
      <c r="H2472" s="138">
        <v>905</v>
      </c>
      <c r="I2472" s="139" t="e">
        <f>VLOOKUP(H2472,Stock_list!A:R,18,FALSE)</f>
        <v>#N/A</v>
      </c>
      <c r="J2472" s="139" t="e">
        <f>VLOOKUP(H2472,Stock_list!A:S,17,FALSE)</f>
        <v>#N/A</v>
      </c>
      <c r="K2472" s="51" t="e">
        <f>VLOOKUP(H2472,Stock_list!A:T,16,FALSE)</f>
        <v>#N/A</v>
      </c>
      <c r="L2472" s="4">
        <v>44218</v>
      </c>
      <c r="M2472" s="143">
        <v>7</v>
      </c>
      <c r="P2472" s="4" t="e">
        <f>VLOOKUP(H2472,Stock_list!A:Y,25,FALSE)</f>
        <v>#N/A</v>
      </c>
      <c r="Q2472" s="133"/>
      <c r="T2472" s="144"/>
      <c r="U2472" s="145" t="e">
        <f>VLOOKUP(H2472,Stock_list!A:N,14,FALSE)</f>
        <v>#N/A</v>
      </c>
    </row>
    <row r="2473" spans="1:21" ht="16.5" customHeight="1">
      <c r="A2473" s="159" t="s">
        <v>265</v>
      </c>
      <c r="B2473" s="114" t="str">
        <f>VLOOKUP(A2473,'Data pick slip'!B:F,5,FALSE)</f>
        <v>KHJ-MC400-00</v>
      </c>
      <c r="F2473" s="157" t="s">
        <v>379</v>
      </c>
      <c r="H2473" s="138">
        <v>905</v>
      </c>
      <c r="I2473" s="139" t="e">
        <f>VLOOKUP(H2473,Stock_list!A:R,18,FALSE)</f>
        <v>#N/A</v>
      </c>
      <c r="J2473" s="286" t="e">
        <f>VLOOKUP(H2473,Stock_list!A:S,17,FALSE)</f>
        <v>#N/A</v>
      </c>
      <c r="K2473" s="259" t="e">
        <f>VLOOKUP(H2473,Stock_list!A:T,16,FALSE)</f>
        <v>#N/A</v>
      </c>
      <c r="L2473" s="287">
        <v>44218</v>
      </c>
      <c r="M2473" s="289">
        <v>4</v>
      </c>
      <c r="P2473" s="4" t="e">
        <f>VLOOKUP(H2473,Stock_list!A:Y,25,FALSE)</f>
        <v>#N/A</v>
      </c>
      <c r="Q2473" s="133"/>
      <c r="T2473" s="144"/>
      <c r="U2473" s="145" t="e">
        <f>VLOOKUP(H2473,Stock_list!A:N,14,FALSE)</f>
        <v>#N/A</v>
      </c>
    </row>
    <row r="2474" spans="1:21" ht="16.5" customHeight="1">
      <c r="A2474" s="159" t="s">
        <v>266</v>
      </c>
      <c r="B2474" s="114"/>
      <c r="F2474" s="157" t="s">
        <v>379</v>
      </c>
      <c r="H2474" s="138">
        <v>905</v>
      </c>
      <c r="I2474" s="139" t="e">
        <f>VLOOKUP(H2474,Stock_list!A:R,18,FALSE)</f>
        <v>#N/A</v>
      </c>
      <c r="J2474" s="139" t="e">
        <f>VLOOKUP(H2474,Stock_list!A:S,17,FALSE)</f>
        <v>#N/A</v>
      </c>
      <c r="K2474" s="51" t="e">
        <f>VLOOKUP(H2474,Stock_list!A:T,16,FALSE)</f>
        <v>#N/A</v>
      </c>
      <c r="L2474" s="4">
        <v>44218</v>
      </c>
      <c r="M2474" s="143">
        <v>1</v>
      </c>
      <c r="P2474" s="4" t="e">
        <f>VLOOKUP(H2474,Stock_list!A:Y,25,FALSE)</f>
        <v>#N/A</v>
      </c>
      <c r="Q2474" s="133"/>
      <c r="T2474" s="144"/>
      <c r="U2474" s="145" t="e">
        <f>VLOOKUP(H2474,Stock_list!A:N,14,FALSE)</f>
        <v>#N/A</v>
      </c>
    </row>
    <row r="2475" spans="1:21" ht="16.5" customHeight="1">
      <c r="A2475" s="159" t="s">
        <v>267</v>
      </c>
      <c r="B2475" s="114" t="str">
        <f>VLOOKUP(A2475,'Data pick slip'!B:F,5,FALSE)</f>
        <v>KHJ-MC600-00</v>
      </c>
      <c r="F2475" s="157" t="s">
        <v>270</v>
      </c>
      <c r="H2475" s="138">
        <v>905</v>
      </c>
      <c r="I2475" s="139" t="e">
        <f>VLOOKUP(H2475,Stock_list!A:R,18,FALSE)</f>
        <v>#N/A</v>
      </c>
      <c r="J2475" s="139" t="e">
        <f>VLOOKUP(H2475,Stock_list!A:S,17,FALSE)</f>
        <v>#N/A</v>
      </c>
      <c r="K2475" s="51" t="e">
        <f>VLOOKUP(H2475,Stock_list!A:T,16,FALSE)</f>
        <v>#N/A</v>
      </c>
      <c r="L2475" s="4">
        <v>44218</v>
      </c>
      <c r="M2475" s="143">
        <v>1</v>
      </c>
      <c r="P2475" s="4" t="e">
        <f>VLOOKUP(H2475,Stock_list!A:Y,25,FALSE)</f>
        <v>#N/A</v>
      </c>
      <c r="Q2475" s="133"/>
      <c r="S2475" s="268" t="s">
        <v>295</v>
      </c>
      <c r="T2475" s="266" t="s">
        <v>890</v>
      </c>
      <c r="U2475" s="145" t="e">
        <f>VLOOKUP(H2475,Stock_list!A:N,14,FALSE)</f>
        <v>#N/A</v>
      </c>
    </row>
    <row r="2476" spans="1:21" ht="16.5" customHeight="1">
      <c r="A2476" s="159" t="s">
        <v>267</v>
      </c>
      <c r="B2476" s="114" t="str">
        <f>VLOOKUP(A2476,'Data pick slip'!B:F,5,FALSE)</f>
        <v>KHJ-MC600-00</v>
      </c>
      <c r="F2476" s="157" t="s">
        <v>227</v>
      </c>
      <c r="H2476" s="138">
        <v>905</v>
      </c>
      <c r="I2476" s="139" t="e">
        <f>VLOOKUP(H2476,Stock_list!A:R,18,FALSE)</f>
        <v>#N/A</v>
      </c>
      <c r="J2476" s="139" t="e">
        <f>VLOOKUP(H2476,Stock_list!A:S,17,FALSE)</f>
        <v>#N/A</v>
      </c>
      <c r="K2476" s="51" t="e">
        <f>VLOOKUP(H2476,Stock_list!A:T,16,FALSE)</f>
        <v>#N/A</v>
      </c>
      <c r="L2476" s="4">
        <v>44218</v>
      </c>
      <c r="M2476" s="271" t="s">
        <v>891</v>
      </c>
      <c r="P2476" s="4" t="e">
        <f>VLOOKUP(H2476,Stock_list!A:Y,25,FALSE)</f>
        <v>#N/A</v>
      </c>
      <c r="Q2476" s="133"/>
      <c r="S2476" s="268"/>
      <c r="T2476" s="266"/>
      <c r="U2476" s="145" t="e">
        <f>VLOOKUP(H2476,Stock_list!A:N,14,FALSE)</f>
        <v>#N/A</v>
      </c>
    </row>
    <row r="2477" spans="1:21" ht="16.5" customHeight="1">
      <c r="A2477" s="159" t="s">
        <v>261</v>
      </c>
      <c r="B2477" s="114" t="str">
        <f>VLOOKUP(A2477,'Data pick slip'!B:F,5,FALSE)</f>
        <v>KHJ-MC100-00</v>
      </c>
      <c r="F2477" s="157" t="s">
        <v>290</v>
      </c>
      <c r="H2477" s="138">
        <v>905</v>
      </c>
      <c r="I2477" s="139" t="e">
        <f>VLOOKUP(H2477,Stock_list!A:R,18,FALSE)</f>
        <v>#N/A</v>
      </c>
      <c r="J2477" s="139" t="e">
        <f>VLOOKUP(H2477,Stock_list!A:S,17,FALSE)</f>
        <v>#N/A</v>
      </c>
      <c r="K2477" s="51" t="e">
        <f>VLOOKUP(H2477,Stock_list!A:T,16,FALSE)</f>
        <v>#N/A</v>
      </c>
      <c r="L2477" s="4">
        <v>44158</v>
      </c>
      <c r="N2477" s="146"/>
      <c r="O2477" s="143">
        <f>50-25-25</f>
        <v>0</v>
      </c>
      <c r="P2477" s="4" t="e">
        <f>VLOOKUP(H2477,Stock_list!A:Y,25,FALSE)</f>
        <v>#N/A</v>
      </c>
      <c r="Q2477" s="133"/>
      <c r="T2477" s="144"/>
      <c r="U2477" s="145" t="e">
        <f>VLOOKUP(H2477,Stock_list!A:N,14,FALSE)</f>
        <v>#N/A</v>
      </c>
    </row>
    <row r="2478" spans="1:21" ht="16.5" customHeight="1">
      <c r="A2478" s="159" t="s">
        <v>264</v>
      </c>
      <c r="B2478" s="114" t="str">
        <f>VLOOKUP(A2478,'Data pick slip'!B:F,5,FALSE)</f>
        <v>KHJ-MC200-00</v>
      </c>
      <c r="F2478" s="157" t="s">
        <v>290</v>
      </c>
      <c r="H2478" s="138">
        <v>905</v>
      </c>
      <c r="I2478" s="139" t="e">
        <f>VLOOKUP(H2478,Stock_list!A:R,18,FALSE)</f>
        <v>#N/A</v>
      </c>
      <c r="J2478" s="139" t="e">
        <f>VLOOKUP(H2478,Stock_list!A:S,17,FALSE)</f>
        <v>#N/A</v>
      </c>
      <c r="K2478" s="51" t="e">
        <f>VLOOKUP(H2478,Stock_list!A:T,16,FALSE)</f>
        <v>#N/A</v>
      </c>
      <c r="L2478" s="4">
        <v>44158</v>
      </c>
      <c r="N2478" s="146"/>
      <c r="O2478" s="143">
        <f>14-7-7</f>
        <v>0</v>
      </c>
      <c r="P2478" s="4" t="e">
        <f>VLOOKUP(H2478,Stock_list!A:Y,25,FALSE)</f>
        <v>#N/A</v>
      </c>
      <c r="Q2478" s="133"/>
      <c r="T2478" s="144"/>
      <c r="U2478" s="145" t="e">
        <f>VLOOKUP(H2478,Stock_list!A:N,14,FALSE)</f>
        <v>#N/A</v>
      </c>
    </row>
    <row r="2479" spans="1:21" ht="16.5" customHeight="1">
      <c r="A2479" s="159" t="s">
        <v>265</v>
      </c>
      <c r="B2479" s="114" t="str">
        <f>VLOOKUP(A2479,'Data pick slip'!B:F,5,FALSE)</f>
        <v>KHJ-MC400-00</v>
      </c>
      <c r="F2479" s="157" t="s">
        <v>290</v>
      </c>
      <c r="H2479" s="138">
        <v>905</v>
      </c>
      <c r="I2479" s="139" t="e">
        <f>VLOOKUP(H2479,Stock_list!A:R,18,FALSE)</f>
        <v>#N/A</v>
      </c>
      <c r="J2479" s="139" t="e">
        <f>VLOOKUP(H2479,Stock_list!A:S,17,FALSE)</f>
        <v>#N/A</v>
      </c>
      <c r="K2479" s="51" t="e">
        <f>VLOOKUP(H2479,Stock_list!A:T,16,FALSE)</f>
        <v>#N/A</v>
      </c>
      <c r="L2479" s="4">
        <v>44158</v>
      </c>
      <c r="N2479" s="146"/>
      <c r="O2479" s="143">
        <f>8-4-4</f>
        <v>0</v>
      </c>
      <c r="P2479" s="4" t="e">
        <f>VLOOKUP(H2479,Stock_list!A:Y,25,FALSE)</f>
        <v>#N/A</v>
      </c>
      <c r="Q2479" s="133"/>
      <c r="T2479" s="144"/>
      <c r="U2479" s="145" t="e">
        <f>VLOOKUP(H2479,Stock_list!A:N,14,FALSE)</f>
        <v>#N/A</v>
      </c>
    </row>
    <row r="2480" spans="1:21" ht="16.5" customHeight="1">
      <c r="A2480" s="159" t="s">
        <v>266</v>
      </c>
      <c r="B2480" s="114" t="str">
        <f>VLOOKUP(A2480,'Data pick slip'!B:F,5,FALSE)</f>
        <v>KHJ-MC500-00</v>
      </c>
      <c r="F2480" s="157" t="s">
        <v>290</v>
      </c>
      <c r="H2480" s="138">
        <v>905</v>
      </c>
      <c r="I2480" s="139" t="e">
        <f>VLOOKUP(H2480,Stock_list!A:R,18,FALSE)</f>
        <v>#N/A</v>
      </c>
      <c r="J2480" s="139" t="e">
        <f>VLOOKUP(H2480,Stock_list!A:S,17,FALSE)</f>
        <v>#N/A</v>
      </c>
      <c r="K2480" s="51" t="e">
        <f>VLOOKUP(H2480,Stock_list!A:T,16,FALSE)</f>
        <v>#N/A</v>
      </c>
      <c r="L2480" s="4">
        <v>44158</v>
      </c>
      <c r="N2480" s="146"/>
      <c r="O2480" s="143">
        <f>1-1</f>
        <v>0</v>
      </c>
      <c r="P2480" s="4" t="e">
        <f>VLOOKUP(H2480,Stock_list!A:Y,25,FALSE)</f>
        <v>#N/A</v>
      </c>
      <c r="Q2480" s="133"/>
      <c r="T2480" s="144"/>
      <c r="U2480" s="145" t="e">
        <f>VLOOKUP(H2480,Stock_list!A:N,14,FALSE)</f>
        <v>#N/A</v>
      </c>
    </row>
    <row r="2481" spans="1:21" ht="16.5" customHeight="1">
      <c r="A2481" s="159" t="s">
        <v>267</v>
      </c>
      <c r="B2481" s="114" t="str">
        <f>VLOOKUP(A2481,'Data pick slip'!B:F,5,FALSE)</f>
        <v>KHJ-MC600-00</v>
      </c>
      <c r="F2481" s="157" t="s">
        <v>290</v>
      </c>
      <c r="H2481" s="138">
        <v>905</v>
      </c>
      <c r="I2481" s="139" t="e">
        <f>VLOOKUP(H2481,Stock_list!A:R,18,FALSE)</f>
        <v>#N/A</v>
      </c>
      <c r="J2481" s="139" t="e">
        <f>VLOOKUP(H2481,Stock_list!A:S,17,FALSE)</f>
        <v>#N/A</v>
      </c>
      <c r="K2481" s="51" t="e">
        <f>VLOOKUP(H2481,Stock_list!A:T,16,FALSE)</f>
        <v>#N/A</v>
      </c>
      <c r="L2481" s="4">
        <v>44158</v>
      </c>
      <c r="N2481" s="146"/>
      <c r="O2481" s="143">
        <f>1-1</f>
        <v>0</v>
      </c>
      <c r="P2481" s="4" t="e">
        <f>VLOOKUP(H2481,Stock_list!A:Y,25,FALSE)</f>
        <v>#N/A</v>
      </c>
      <c r="Q2481" s="133"/>
      <c r="T2481" s="144"/>
      <c r="U2481" s="145" t="e">
        <f>VLOOKUP(H2481,Stock_list!A:N,14,FALSE)</f>
        <v>#N/A</v>
      </c>
    </row>
    <row r="2482" spans="1:21" ht="16.5" customHeight="1">
      <c r="A2482" s="159" t="s">
        <v>261</v>
      </c>
      <c r="B2482" s="114" t="str">
        <f>VLOOKUP(A2482,'Data pick slip'!B:F,5,FALSE)</f>
        <v>KHJ-MC100-00</v>
      </c>
      <c r="F2482" s="157" t="s">
        <v>379</v>
      </c>
      <c r="H2482" s="138">
        <v>918</v>
      </c>
      <c r="I2482" s="139" t="e">
        <f>VLOOKUP(H2482,Stock_list!A:R,18,FALSE)</f>
        <v>#N/A</v>
      </c>
      <c r="J2482" s="139" t="e">
        <f>VLOOKUP(H2482,Stock_list!A:S,17,FALSE)</f>
        <v>#N/A</v>
      </c>
      <c r="K2482" s="51" t="e">
        <f>VLOOKUP(H2482,Stock_list!A:T,16,FALSE)</f>
        <v>#N/A</v>
      </c>
      <c r="L2482" s="4">
        <v>44229</v>
      </c>
      <c r="M2482" s="132">
        <v>200</v>
      </c>
      <c r="P2482" s="4" t="e">
        <f>VLOOKUP(H2482,Stock_list!A:Y,25,FALSE)</f>
        <v>#N/A</v>
      </c>
      <c r="Q2482" s="133"/>
      <c r="T2482" s="144"/>
      <c r="U2482" s="145" t="e">
        <f>VLOOKUP(H2482,Stock_list!A:N,14,FALSE)</f>
        <v>#N/A</v>
      </c>
    </row>
    <row r="2483" spans="1:21" ht="16.5" customHeight="1">
      <c r="A2483" s="159" t="s">
        <v>264</v>
      </c>
      <c r="B2483" s="114" t="str">
        <f>VLOOKUP(A2483,'Data pick slip'!B:F,5,FALSE)</f>
        <v>KHJ-MC200-00</v>
      </c>
      <c r="F2483" s="157" t="s">
        <v>379</v>
      </c>
      <c r="H2483" s="138">
        <v>918</v>
      </c>
      <c r="I2483" s="139" t="e">
        <f>VLOOKUP(H2483,Stock_list!A:R,18,FALSE)</f>
        <v>#N/A</v>
      </c>
      <c r="J2483" s="139" t="e">
        <f>VLOOKUP(H2483,Stock_list!A:S,17,FALSE)</f>
        <v>#N/A</v>
      </c>
      <c r="K2483" s="51" t="e">
        <f>VLOOKUP(H2483,Stock_list!A:T,16,FALSE)</f>
        <v>#N/A</v>
      </c>
      <c r="L2483" s="4">
        <v>44229</v>
      </c>
      <c r="M2483" s="132">
        <v>20</v>
      </c>
      <c r="P2483" s="4" t="e">
        <f>VLOOKUP(H2483,Stock_list!A:Y,25,FALSE)</f>
        <v>#N/A</v>
      </c>
      <c r="Q2483" s="133"/>
      <c r="T2483" s="144"/>
      <c r="U2483" s="145" t="e">
        <f>VLOOKUP(H2483,Stock_list!A:N,14,FALSE)</f>
        <v>#N/A</v>
      </c>
    </row>
    <row r="2484" spans="1:21" ht="16.5" customHeight="1">
      <c r="A2484" s="159" t="s">
        <v>264</v>
      </c>
      <c r="B2484" s="114" t="str">
        <f>VLOOKUP(A2484,'Data pick slip'!B:F,5,FALSE)</f>
        <v>KHJ-MC200-00</v>
      </c>
      <c r="F2484" s="157" t="s">
        <v>290</v>
      </c>
      <c r="I2484" s="139" t="s">
        <v>611</v>
      </c>
      <c r="J2484" s="139" t="s">
        <v>887</v>
      </c>
      <c r="K2484" s="51" t="s">
        <v>225</v>
      </c>
      <c r="L2484" s="4">
        <v>44147</v>
      </c>
      <c r="M2484" s="140">
        <v>30</v>
      </c>
      <c r="P2484" s="4" t="s">
        <v>214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261</v>
      </c>
      <c r="B2485" s="114" t="str">
        <f>VLOOKUP(A2485,'Data pick slip'!B:F,5,FALSE)</f>
        <v>KHJ-MC100-00</v>
      </c>
      <c r="F2485" s="157" t="s">
        <v>379</v>
      </c>
      <c r="H2485" s="138">
        <v>919</v>
      </c>
      <c r="I2485" s="139" t="e">
        <f>VLOOKUP(H2485,Stock_list!A:R,18,FALSE)</f>
        <v>#N/A</v>
      </c>
      <c r="J2485" s="139" t="e">
        <f>VLOOKUP(H2485,Stock_list!A:S,17,FALSE)</f>
        <v>#N/A</v>
      </c>
      <c r="K2485" s="51" t="e">
        <f>VLOOKUP(H2485,Stock_list!A:T,16,FALSE)</f>
        <v>#N/A</v>
      </c>
      <c r="L2485" s="4">
        <v>44195</v>
      </c>
      <c r="M2485" s="132">
        <v>15</v>
      </c>
      <c r="P2485" s="4" t="e">
        <f>VLOOKUP(H2485,Stock_list!A:Y,25,FALSE)</f>
        <v>#N/A</v>
      </c>
      <c r="Q2485" s="143"/>
      <c r="T2485" s="144"/>
      <c r="U2485" s="145" t="e">
        <f>VLOOKUP(H2485,Stock_list!A:N,14,FALSE)</f>
        <v>#N/A</v>
      </c>
    </row>
    <row r="2486" spans="1:21" ht="16.5" customHeight="1">
      <c r="A2486" s="159" t="s">
        <v>261</v>
      </c>
      <c r="B2486" s="114" t="str">
        <f>VLOOKUP(A2486,'Data pick slip'!B:F,5,FALSE)</f>
        <v>KHJ-MC100-00</v>
      </c>
      <c r="F2486" s="157" t="s">
        <v>379</v>
      </c>
      <c r="H2486" s="138">
        <v>920</v>
      </c>
      <c r="I2486" s="139" t="e">
        <f>VLOOKUP(H2486,Stock_list!A:R,18,FALSE)</f>
        <v>#N/A</v>
      </c>
      <c r="J2486" s="139" t="e">
        <f>VLOOKUP(H2486,Stock_list!A:S,17,FALSE)</f>
        <v>#N/A</v>
      </c>
      <c r="K2486" s="51" t="e">
        <f>VLOOKUP(H2486,Stock_list!A:T,16,FALSE)</f>
        <v>#N/A</v>
      </c>
      <c r="L2486" s="4">
        <v>44217</v>
      </c>
      <c r="M2486" s="143">
        <v>90</v>
      </c>
      <c r="P2486" s="4" t="e">
        <f>VLOOKUP(H2486,Stock_list!A:Y,25,FALSE)</f>
        <v>#N/A</v>
      </c>
      <c r="Q2486" s="133"/>
      <c r="T2486" s="144"/>
      <c r="U2486" s="145" t="e">
        <f>VLOOKUP(H2486,Stock_list!A:N,14,FALSE)</f>
        <v>#N/A</v>
      </c>
    </row>
    <row r="2487" spans="1:21" ht="16.5" customHeight="1">
      <c r="A2487" s="159" t="s">
        <v>264</v>
      </c>
      <c r="B2487" s="114" t="str">
        <f>VLOOKUP(A2487,'Data pick slip'!B:F,5,FALSE)</f>
        <v>KHJ-MC200-00</v>
      </c>
      <c r="F2487" s="157" t="s">
        <v>379</v>
      </c>
      <c r="H2487" s="138">
        <v>920</v>
      </c>
      <c r="I2487" s="139" t="e">
        <f>VLOOKUP(H2487,Stock_list!A:R,18,FALSE)</f>
        <v>#N/A</v>
      </c>
      <c r="J2487" s="139" t="e">
        <f>VLOOKUP(H2487,Stock_list!A:S,17,FALSE)</f>
        <v>#N/A</v>
      </c>
      <c r="K2487" s="51" t="e">
        <f>VLOOKUP(H2487,Stock_list!A:T,16,FALSE)</f>
        <v>#N/A</v>
      </c>
      <c r="L2487" s="4">
        <v>44217</v>
      </c>
      <c r="M2487" s="143">
        <v>2</v>
      </c>
      <c r="P2487" s="4" t="e">
        <f>VLOOKUP(H2487,Stock_list!A:Y,25,FALSE)</f>
        <v>#N/A</v>
      </c>
      <c r="Q2487" s="133"/>
      <c r="T2487" s="144"/>
      <c r="U2487" s="145" t="e">
        <f>VLOOKUP(H2487,Stock_list!A:N,14,FALSE)</f>
        <v>#N/A</v>
      </c>
    </row>
    <row r="2488" spans="1:21" ht="16.5" customHeight="1">
      <c r="A2488" s="159" t="s">
        <v>265</v>
      </c>
      <c r="B2488" s="114" t="str">
        <f>VLOOKUP(A2488,'Data pick slip'!B:F,5,FALSE)</f>
        <v>KHJ-MC400-00</v>
      </c>
      <c r="F2488" s="157" t="s">
        <v>379</v>
      </c>
      <c r="H2488" s="138">
        <v>920</v>
      </c>
      <c r="I2488" s="139" t="e">
        <f>VLOOKUP(H2488,Stock_list!A:R,18,FALSE)</f>
        <v>#N/A</v>
      </c>
      <c r="J2488" s="286" t="e">
        <f>VLOOKUP(H2488,Stock_list!A:S,17,FALSE)</f>
        <v>#N/A</v>
      </c>
      <c r="K2488" s="259" t="e">
        <f>VLOOKUP(H2488,Stock_list!A:T,16,FALSE)</f>
        <v>#N/A</v>
      </c>
      <c r="L2488" s="287">
        <v>44217</v>
      </c>
      <c r="M2488" s="289">
        <v>1</v>
      </c>
      <c r="P2488" s="4" t="e">
        <f>VLOOKUP(H2488,Stock_list!A:Y,25,FALSE)</f>
        <v>#N/A</v>
      </c>
      <c r="Q2488" s="133"/>
      <c r="T2488" s="144"/>
      <c r="U2488" s="145" t="e">
        <f>VLOOKUP(H2488,Stock_list!A:N,14,FALSE)</f>
        <v>#N/A</v>
      </c>
    </row>
    <row r="2489" spans="1:21" ht="16.5" customHeight="1">
      <c r="A2489" s="159" t="s">
        <v>261</v>
      </c>
      <c r="B2489" s="114" t="str">
        <f>VLOOKUP(A2489,'Data pick slip'!B:F,5,FALSE)</f>
        <v>KHJ-MC100-00</v>
      </c>
      <c r="F2489" s="157" t="s">
        <v>290</v>
      </c>
      <c r="H2489" s="138">
        <v>922</v>
      </c>
      <c r="I2489" s="139" t="e">
        <f>VLOOKUP(H2489,Stock_list!A:R,18,FALSE)</f>
        <v>#N/A</v>
      </c>
      <c r="J2489" s="139" t="e">
        <f>VLOOKUP(H2489,Stock_list!A:S,17,FALSE)</f>
        <v>#N/A</v>
      </c>
      <c r="K2489" s="51" t="e">
        <f>VLOOKUP(H2489,Stock_list!A:T,16,FALSE)</f>
        <v>#N/A</v>
      </c>
      <c r="L2489" s="4">
        <v>44188</v>
      </c>
      <c r="M2489" s="143">
        <v>10</v>
      </c>
      <c r="P2489" s="4" t="e">
        <f>VLOOKUP(H2489,Stock_list!A:Y,25,FALSE)</f>
        <v>#N/A</v>
      </c>
      <c r="Q2489" s="133"/>
      <c r="T2489" s="144"/>
      <c r="U2489" s="145" t="e">
        <f>VLOOKUP(H2489,Stock_list!A:N,14,FALSE)</f>
        <v>#N/A</v>
      </c>
    </row>
    <row r="2490" spans="1:21" ht="16.5" customHeight="1">
      <c r="A2490" s="159" t="s">
        <v>264</v>
      </c>
      <c r="B2490" s="114" t="str">
        <f>VLOOKUP(A2490,'Data pick slip'!B:F,5,FALSE)</f>
        <v>KHJ-MC200-00</v>
      </c>
      <c r="F2490" s="157" t="s">
        <v>290</v>
      </c>
      <c r="H2490" s="138">
        <v>922</v>
      </c>
      <c r="I2490" s="139" t="e">
        <f>VLOOKUP(H2490,Stock_list!A:R,18,FALSE)</f>
        <v>#N/A</v>
      </c>
      <c r="J2490" s="139" t="e">
        <f>VLOOKUP(H2490,Stock_list!A:S,17,FALSE)</f>
        <v>#N/A</v>
      </c>
      <c r="K2490" s="51" t="e">
        <f>VLOOKUP(H2490,Stock_list!A:T,16,FALSE)</f>
        <v>#N/A</v>
      </c>
      <c r="L2490" s="4">
        <v>44188</v>
      </c>
      <c r="M2490" s="143">
        <v>5</v>
      </c>
      <c r="P2490" s="4" t="e">
        <f>VLOOKUP(H2490,Stock_list!A:Y,25,FALSE)</f>
        <v>#N/A</v>
      </c>
      <c r="Q2490" s="133"/>
      <c r="T2490" s="144"/>
      <c r="U2490" s="145" t="e">
        <f>VLOOKUP(H2490,Stock_list!A:N,14,FALSE)</f>
        <v>#N/A</v>
      </c>
    </row>
    <row r="2491" spans="1:21" ht="16.5" customHeight="1">
      <c r="A2491" s="159" t="s">
        <v>272</v>
      </c>
      <c r="B2491" s="114" t="str">
        <f>VLOOKUP(A2491,'Data pick slip'!B:F,5,FALSE)</f>
        <v>KLJ-MC100-00</v>
      </c>
      <c r="F2491" s="157" t="s">
        <v>379</v>
      </c>
      <c r="H2491" s="138">
        <v>926</v>
      </c>
      <c r="I2491" s="139" t="e">
        <f>VLOOKUP(H2491,Stock_list!A:R,18,FALSE)</f>
        <v>#N/A</v>
      </c>
      <c r="J2491" s="139" t="e">
        <f>VLOOKUP(H2491,Stock_list!A:S,17,FALSE)</f>
        <v>#N/A</v>
      </c>
      <c r="K2491" s="51" t="e">
        <f>VLOOKUP(H2491,Stock_list!A:T,16,FALSE)</f>
        <v>#N/A</v>
      </c>
      <c r="L2491" s="4">
        <v>44425</v>
      </c>
      <c r="M2491" s="132">
        <v>80</v>
      </c>
      <c r="P2491" s="4" t="e">
        <f>VLOOKUP(H2491,Stock_list!A:Y,25,FALSE)</f>
        <v>#N/A</v>
      </c>
      <c r="Q2491" s="143"/>
      <c r="T2491" s="144"/>
      <c r="U2491" s="145" t="e">
        <f>VLOOKUP(H2491,Stock_list!A:N,14,FALSE)</f>
        <v>#N/A</v>
      </c>
    </row>
    <row r="2492" spans="1:21" ht="16.5" customHeight="1">
      <c r="A2492" s="159" t="s">
        <v>273</v>
      </c>
      <c r="B2492" s="114" t="str">
        <f>VLOOKUP(A2492,'Data pick slip'!B:F,5,FALSE)</f>
        <v>KLJ-MC200-00</v>
      </c>
      <c r="F2492" s="157" t="s">
        <v>379</v>
      </c>
      <c r="H2492" s="138">
        <v>926</v>
      </c>
      <c r="I2492" s="139" t="e">
        <f>VLOOKUP(H2492,Stock_list!A:R,18,FALSE)</f>
        <v>#N/A</v>
      </c>
      <c r="J2492" s="139" t="e">
        <f>VLOOKUP(H2492,Stock_list!A:S,17,FALSE)</f>
        <v>#N/A</v>
      </c>
      <c r="K2492" s="51" t="e">
        <f>VLOOKUP(H2492,Stock_list!A:T,16,FALSE)</f>
        <v>#N/A</v>
      </c>
      <c r="L2492" s="4">
        <v>44425</v>
      </c>
      <c r="M2492" s="132">
        <f>30-15</f>
        <v>15</v>
      </c>
      <c r="P2492" s="4" t="e">
        <f>VLOOKUP(H2492,Stock_list!A:Y,25,FALSE)</f>
        <v>#N/A</v>
      </c>
      <c r="T2492" s="144"/>
      <c r="U2492" s="145" t="e">
        <f>VLOOKUP(H2492,Stock_list!A:N,14,FALSE)</f>
        <v>#N/A</v>
      </c>
    </row>
    <row r="2493" spans="1:21" ht="16.5" customHeight="1">
      <c r="A2493" s="159" t="s">
        <v>274</v>
      </c>
      <c r="B2493" s="114" t="str">
        <f>VLOOKUP(A2493,'Data pick slip'!B:F,5,FALSE)</f>
        <v>KLJ-MC400-00</v>
      </c>
      <c r="F2493" s="157" t="s">
        <v>379</v>
      </c>
      <c r="H2493" s="138">
        <v>926</v>
      </c>
      <c r="I2493" s="139" t="e">
        <f>VLOOKUP(H2493,Stock_list!A:R,18,FALSE)</f>
        <v>#N/A</v>
      </c>
      <c r="J2493" s="139" t="e">
        <f>VLOOKUP(H2493,Stock_list!A:S,17,FALSE)</f>
        <v>#N/A</v>
      </c>
      <c r="K2493" s="51" t="e">
        <f>VLOOKUP(H2493,Stock_list!A:T,16,FALSE)</f>
        <v>#N/A</v>
      </c>
      <c r="L2493" s="4">
        <v>44425</v>
      </c>
      <c r="M2493" s="132">
        <f>10-5</f>
        <v>5</v>
      </c>
      <c r="P2493" s="4" t="e">
        <f>VLOOKUP(H2493,Stock_list!A:Y,25,FALSE)</f>
        <v>#N/A</v>
      </c>
      <c r="Q2493" s="143"/>
      <c r="T2493" s="144"/>
      <c r="U2493" s="145" t="e">
        <f>VLOOKUP(H2493,Stock_list!A:N,14,FALSE)</f>
        <v>#N/A</v>
      </c>
    </row>
    <row r="2494" spans="1:21" ht="16.5" customHeight="1">
      <c r="A2494" s="159" t="s">
        <v>275</v>
      </c>
      <c r="B2494" s="114" t="str">
        <f>VLOOKUP(A2494,'Data pick slip'!B:F,5,FALSE)</f>
        <v>KLJ-MC500-00</v>
      </c>
      <c r="F2494" s="157" t="s">
        <v>379</v>
      </c>
      <c r="H2494" s="138">
        <v>926</v>
      </c>
      <c r="I2494" s="139" t="e">
        <f>VLOOKUP(H2494,Stock_list!A:R,18,FALSE)</f>
        <v>#N/A</v>
      </c>
      <c r="J2494" s="139" t="e">
        <f>VLOOKUP(H2494,Stock_list!A:S,17,FALSE)</f>
        <v>#N/A</v>
      </c>
      <c r="K2494" s="51" t="e">
        <f>VLOOKUP(H2494,Stock_list!A:T,16,FALSE)</f>
        <v>#N/A</v>
      </c>
      <c r="L2494" s="4">
        <v>44425</v>
      </c>
      <c r="M2494" s="132">
        <f>4-2</f>
        <v>2</v>
      </c>
      <c r="P2494" s="4" t="e">
        <f>VLOOKUP(H2494,Stock_list!A:Y,25,FALSE)</f>
        <v>#N/A</v>
      </c>
      <c r="Q2494" s="143"/>
      <c r="T2494" s="144"/>
      <c r="U2494" s="145" t="e">
        <f>VLOOKUP(H2494,Stock_list!A:N,14,FALSE)</f>
        <v>#N/A</v>
      </c>
    </row>
    <row r="2495" spans="1:21" ht="16.5" customHeight="1">
      <c r="A2495" s="159" t="s">
        <v>276</v>
      </c>
      <c r="B2495" s="114" t="str">
        <f>VLOOKUP(A2495,'Data pick slip'!B:F,5,FALSE)</f>
        <v>KLJ-MC600-00</v>
      </c>
      <c r="F2495" s="157" t="s">
        <v>379</v>
      </c>
      <c r="H2495" s="138">
        <v>926</v>
      </c>
      <c r="I2495" s="139" t="e">
        <f>VLOOKUP(H2495,Stock_list!A:R,18,FALSE)</f>
        <v>#N/A</v>
      </c>
      <c r="J2495" s="139" t="e">
        <f>VLOOKUP(H2495,Stock_list!A:S,17,FALSE)</f>
        <v>#N/A</v>
      </c>
      <c r="K2495" s="51" t="e">
        <f>VLOOKUP(H2495,Stock_list!A:T,16,FALSE)</f>
        <v>#N/A</v>
      </c>
      <c r="L2495" s="4">
        <v>44425</v>
      </c>
      <c r="M2495" s="132">
        <v>2</v>
      </c>
      <c r="P2495" s="4" t="e">
        <f>VLOOKUP(H2495,Stock_list!A:Y,25,FALSE)</f>
        <v>#N/A</v>
      </c>
      <c r="Q2495" s="143"/>
      <c r="T2495" s="144"/>
      <c r="U2495" s="145" t="e">
        <f>VLOOKUP(H2495,Stock_list!A:N,14,FALSE)</f>
        <v>#N/A</v>
      </c>
    </row>
    <row r="2496" spans="1:21" ht="16.5" customHeight="1">
      <c r="A2496" s="159" t="s">
        <v>276</v>
      </c>
      <c r="B2496" s="114" t="str">
        <f>VLOOKUP(A2496,'Data pick slip'!B:F,5,FALSE)</f>
        <v>KLJ-MC600-00</v>
      </c>
      <c r="F2496" s="157" t="s">
        <v>270</v>
      </c>
      <c r="H2496" s="138">
        <v>926</v>
      </c>
      <c r="I2496" s="139" t="e">
        <f>VLOOKUP(H2496,Stock_list!A:R,18,FALSE)</f>
        <v>#N/A</v>
      </c>
      <c r="J2496" s="139" t="e">
        <f>VLOOKUP(H2496,Stock_list!A:S,17,FALSE)</f>
        <v>#N/A</v>
      </c>
      <c r="K2496" s="51" t="e">
        <f>VLOOKUP(H2496,Stock_list!A:T,16,FALSE)</f>
        <v>#N/A</v>
      </c>
      <c r="L2496" s="4">
        <v>44309</v>
      </c>
      <c r="O2496" s="132">
        <f>1-1</f>
        <v>0</v>
      </c>
      <c r="P2496" s="4" t="e">
        <f>VLOOKUP(H2496,Stock_list!A:Y,25,FALSE)</f>
        <v>#N/A</v>
      </c>
      <c r="Q2496" s="143"/>
      <c r="T2496" s="144"/>
      <c r="U2496" s="145" t="e">
        <f>VLOOKUP(H2496,Stock_list!A:N,14,FALSE)</f>
        <v>#N/A</v>
      </c>
    </row>
    <row r="2497" spans="1:21" ht="16.5" customHeight="1">
      <c r="A2497" s="159" t="s">
        <v>272</v>
      </c>
      <c r="B2497" s="114" t="str">
        <f>VLOOKUP(A2497,'Data pick slip'!B:F,5,FALSE)</f>
        <v>KLJ-MC100-00</v>
      </c>
      <c r="F2497" s="157" t="s">
        <v>379</v>
      </c>
      <c r="H2497" s="138">
        <v>926</v>
      </c>
      <c r="I2497" s="139" t="e">
        <f>VLOOKUP(H2497,Stock_list!A:R,18,FALSE)</f>
        <v>#N/A</v>
      </c>
      <c r="J2497" s="139" t="e">
        <f>VLOOKUP(H2497,Stock_list!A:S,17,FALSE)</f>
        <v>#N/A</v>
      </c>
      <c r="K2497" s="51" t="e">
        <f>VLOOKUP(H2497,Stock_list!A:T,16,FALSE)</f>
        <v>#N/A</v>
      </c>
      <c r="L2497" s="4">
        <v>44210</v>
      </c>
      <c r="M2497" s="132">
        <v>80</v>
      </c>
      <c r="N2497" s="146"/>
      <c r="P2497" s="4" t="e">
        <f>VLOOKUP(H2497,Stock_list!A:Y,25,FALSE)</f>
        <v>#N/A</v>
      </c>
      <c r="Q2497" s="143"/>
      <c r="T2497" s="144"/>
      <c r="U2497" s="145" t="e">
        <f>VLOOKUP(H2497,Stock_list!A:N,14,FALSE)</f>
        <v>#N/A</v>
      </c>
    </row>
    <row r="2498" spans="1:21" ht="16.5" customHeight="1">
      <c r="A2498" s="159" t="s">
        <v>273</v>
      </c>
      <c r="B2498" s="114" t="str">
        <f>VLOOKUP(A2498,'Data pick slip'!B:F,5,FALSE)</f>
        <v>KLJ-MC200-00</v>
      </c>
      <c r="F2498" s="157" t="s">
        <v>379</v>
      </c>
      <c r="H2498" s="138">
        <v>926</v>
      </c>
      <c r="I2498" s="139" t="e">
        <f>VLOOKUP(H2498,Stock_list!A:R,18,FALSE)</f>
        <v>#N/A</v>
      </c>
      <c r="J2498" s="139" t="e">
        <f>VLOOKUP(H2498,Stock_list!A:S,17,FALSE)</f>
        <v>#N/A</v>
      </c>
      <c r="K2498" s="51" t="e">
        <f>VLOOKUP(H2498,Stock_list!A:T,16,FALSE)</f>
        <v>#N/A</v>
      </c>
      <c r="L2498" s="4">
        <v>44210</v>
      </c>
      <c r="M2498" s="132">
        <v>15</v>
      </c>
      <c r="N2498" s="146"/>
      <c r="P2498" s="4" t="e">
        <f>VLOOKUP(H2498,Stock_list!A:Y,25,FALSE)</f>
        <v>#N/A</v>
      </c>
      <c r="T2498" s="144"/>
      <c r="U2498" s="145" t="e">
        <f>VLOOKUP(H2498,Stock_list!A:N,14,FALSE)</f>
        <v>#N/A</v>
      </c>
    </row>
    <row r="2499" spans="1:21" ht="16.5" customHeight="1">
      <c r="A2499" s="159" t="s">
        <v>274</v>
      </c>
      <c r="B2499" s="114" t="str">
        <f>VLOOKUP(A2499,'Data pick slip'!B:F,5,FALSE)</f>
        <v>KLJ-MC400-00</v>
      </c>
      <c r="F2499" s="157" t="s">
        <v>379</v>
      </c>
      <c r="H2499" s="138">
        <v>926</v>
      </c>
      <c r="I2499" s="139" t="e">
        <f>VLOOKUP(H2499,Stock_list!A:R,18,FALSE)</f>
        <v>#N/A</v>
      </c>
      <c r="J2499" s="139" t="e">
        <f>VLOOKUP(H2499,Stock_list!A:S,17,FALSE)</f>
        <v>#N/A</v>
      </c>
      <c r="K2499" s="51" t="e">
        <f>VLOOKUP(H2499,Stock_list!A:T,16,FALSE)</f>
        <v>#N/A</v>
      </c>
      <c r="L2499" s="4">
        <v>44210</v>
      </c>
      <c r="M2499" s="132">
        <v>5</v>
      </c>
      <c r="N2499" s="146"/>
      <c r="P2499" s="4" t="e">
        <f>VLOOKUP(H2499,Stock_list!A:Y,25,FALSE)</f>
        <v>#N/A</v>
      </c>
      <c r="Q2499" s="143"/>
      <c r="T2499" s="144"/>
      <c r="U2499" s="145" t="e">
        <f>VLOOKUP(H2499,Stock_list!A:N,14,FALSE)</f>
        <v>#N/A</v>
      </c>
    </row>
    <row r="2500" spans="1:21" ht="16.5" customHeight="1">
      <c r="A2500" s="159" t="s">
        <v>275</v>
      </c>
      <c r="B2500" s="114" t="str">
        <f>VLOOKUP(A2500,'Data pick slip'!B:F,5,FALSE)</f>
        <v>KLJ-MC500-00</v>
      </c>
      <c r="F2500" s="157" t="s">
        <v>379</v>
      </c>
      <c r="H2500" s="138">
        <v>926</v>
      </c>
      <c r="I2500" s="139" t="e">
        <f>VLOOKUP(H2500,Stock_list!A:R,18,FALSE)</f>
        <v>#N/A</v>
      </c>
      <c r="J2500" s="139" t="e">
        <f>VLOOKUP(H2500,Stock_list!A:S,17,FALSE)</f>
        <v>#N/A</v>
      </c>
      <c r="K2500" s="51" t="e">
        <f>VLOOKUP(H2500,Stock_list!A:T,16,FALSE)</f>
        <v>#N/A</v>
      </c>
      <c r="L2500" s="4">
        <v>44210</v>
      </c>
      <c r="M2500" s="132">
        <v>2</v>
      </c>
      <c r="N2500" s="146"/>
      <c r="P2500" s="4" t="e">
        <f>VLOOKUP(H2500,Stock_list!A:Y,25,FALSE)</f>
        <v>#N/A</v>
      </c>
      <c r="Q2500" s="143"/>
      <c r="T2500" s="144"/>
      <c r="U2500" s="145" t="e">
        <f>VLOOKUP(H2500,Stock_list!A:N,14,FALSE)</f>
        <v>#N/A</v>
      </c>
    </row>
    <row r="2501" spans="1:21" ht="16.5" customHeight="1">
      <c r="A2501" s="159" t="s">
        <v>261</v>
      </c>
      <c r="B2501" s="114" t="str">
        <f>VLOOKUP(A2501,'Data pick slip'!B:F,5,FALSE)</f>
        <v>KHJ-MC100-00</v>
      </c>
      <c r="F2501" s="157" t="s">
        <v>379</v>
      </c>
      <c r="H2501" s="138">
        <v>930</v>
      </c>
      <c r="I2501" s="139" t="e">
        <f>VLOOKUP(H2501,Stock_list!A:R,18,FALSE)</f>
        <v>#N/A</v>
      </c>
      <c r="J2501" s="139" t="e">
        <f>VLOOKUP(H2501,Stock_list!A:S,17,FALSE)</f>
        <v>#N/A</v>
      </c>
      <c r="K2501" s="51" t="e">
        <f>VLOOKUP(H2501,Stock_list!A:T,16,FALSE)</f>
        <v>#N/A</v>
      </c>
      <c r="L2501" s="4">
        <v>44252</v>
      </c>
      <c r="M2501" s="143">
        <v>65</v>
      </c>
      <c r="P2501" s="4" t="e">
        <f>VLOOKUP(H2501,Stock_list!A:Y,25,FALSE)</f>
        <v>#N/A</v>
      </c>
      <c r="Q2501" s="133"/>
      <c r="T2501" s="144"/>
      <c r="U2501" s="145" t="e">
        <f>VLOOKUP(H2501,Stock_list!A:N,14,FALSE)</f>
        <v>#N/A</v>
      </c>
    </row>
    <row r="2502" spans="1:21" ht="16.5" customHeight="1">
      <c r="A2502" s="159" t="s">
        <v>264</v>
      </c>
      <c r="B2502" s="114" t="str">
        <f>VLOOKUP(A2502,'Data pick slip'!B:F,5,FALSE)</f>
        <v>KHJ-MC200-00</v>
      </c>
      <c r="F2502" s="157" t="s">
        <v>379</v>
      </c>
      <c r="H2502" s="138">
        <v>930</v>
      </c>
      <c r="I2502" s="139" t="e">
        <f>VLOOKUP(H2502,Stock_list!A:R,18,FALSE)</f>
        <v>#N/A</v>
      </c>
      <c r="J2502" s="139" t="e">
        <f>VLOOKUP(H2502,Stock_list!A:S,17,FALSE)</f>
        <v>#N/A</v>
      </c>
      <c r="K2502" s="51" t="e">
        <f>VLOOKUP(H2502,Stock_list!A:T,16,FALSE)</f>
        <v>#N/A</v>
      </c>
      <c r="L2502" s="4">
        <v>44252</v>
      </c>
      <c r="M2502" s="143">
        <v>5</v>
      </c>
      <c r="P2502" s="4" t="e">
        <f>VLOOKUP(H2502,Stock_list!A:Y,25,FALSE)</f>
        <v>#N/A</v>
      </c>
      <c r="Q2502" s="133"/>
      <c r="T2502" s="144"/>
      <c r="U2502" s="145" t="e">
        <f>VLOOKUP(H2502,Stock_list!A:N,14,FALSE)</f>
        <v>#N/A</v>
      </c>
    </row>
    <row r="2503" spans="1:21" ht="16.5" customHeight="1">
      <c r="A2503" s="159" t="s">
        <v>265</v>
      </c>
      <c r="B2503" s="114" t="str">
        <f>VLOOKUP(A2503,'Data pick slip'!B:F,5,FALSE)</f>
        <v>KHJ-MC400-00</v>
      </c>
      <c r="F2503" s="157" t="s">
        <v>379</v>
      </c>
      <c r="H2503" s="138">
        <v>930</v>
      </c>
      <c r="I2503" s="286" t="e">
        <f>VLOOKUP(H2503,Stock_list!A:R,18,FALSE)</f>
        <v>#N/A</v>
      </c>
      <c r="J2503" s="286" t="e">
        <f>VLOOKUP(H2503,Stock_list!A:S,17,FALSE)</f>
        <v>#N/A</v>
      </c>
      <c r="K2503" s="259" t="e">
        <f>VLOOKUP(H2503,Stock_list!A:T,16,FALSE)</f>
        <v>#N/A</v>
      </c>
      <c r="L2503" s="287">
        <v>44252</v>
      </c>
      <c r="M2503" s="289">
        <v>2</v>
      </c>
      <c r="P2503" s="4" t="e">
        <f>VLOOKUP(H2503,Stock_list!A:Y,25,FALSE)</f>
        <v>#N/A</v>
      </c>
      <c r="Q2503" s="133"/>
      <c r="T2503" s="144"/>
      <c r="U2503" s="145" t="e">
        <f>VLOOKUP(H2503,Stock_list!A:N,14,FALSE)</f>
        <v>#N/A</v>
      </c>
    </row>
    <row r="2504" spans="1:21" ht="16.5" customHeight="1">
      <c r="A2504" s="159" t="s">
        <v>266</v>
      </c>
      <c r="B2504" s="114" t="str">
        <f>VLOOKUP(A2504,'Data pick slip'!B:F,5,FALSE)</f>
        <v>KHJ-MC500-00</v>
      </c>
      <c r="F2504" s="157" t="s">
        <v>379</v>
      </c>
      <c r="H2504" s="138">
        <v>930</v>
      </c>
      <c r="I2504" s="139" t="e">
        <f>VLOOKUP(H2504,Stock_list!A:R,18,FALSE)</f>
        <v>#N/A</v>
      </c>
      <c r="J2504" s="139" t="e">
        <f>VLOOKUP(H2504,Stock_list!A:S,17,FALSE)</f>
        <v>#N/A</v>
      </c>
      <c r="K2504" s="51" t="e">
        <f>VLOOKUP(H2504,Stock_list!A:T,16,FALSE)</f>
        <v>#N/A</v>
      </c>
      <c r="L2504" s="4">
        <v>44252</v>
      </c>
      <c r="M2504" s="143">
        <v>1</v>
      </c>
      <c r="P2504" s="4" t="e">
        <f>VLOOKUP(H2504,Stock_list!A:Y,25,FALSE)</f>
        <v>#N/A</v>
      </c>
      <c r="Q2504" s="133"/>
      <c r="T2504" s="144"/>
      <c r="U2504" s="145" t="e">
        <f>VLOOKUP(H2504,Stock_list!A:N,14,FALSE)</f>
        <v>#N/A</v>
      </c>
    </row>
    <row r="2505" spans="1:21" ht="16.5" customHeight="1">
      <c r="A2505" s="159" t="s">
        <v>267</v>
      </c>
      <c r="B2505" s="114" t="str">
        <f>VLOOKUP(A2505,'Data pick slip'!B:F,5,FALSE)</f>
        <v>KHJ-MC600-00</v>
      </c>
      <c r="F2505" s="157" t="s">
        <v>379</v>
      </c>
      <c r="H2505" s="138">
        <v>930</v>
      </c>
      <c r="I2505" s="139" t="e">
        <f>VLOOKUP(H2505,Stock_list!A:R,18,FALSE)</f>
        <v>#N/A</v>
      </c>
      <c r="J2505" s="139" t="e">
        <f>VLOOKUP(H2505,Stock_list!A:S,17,FALSE)</f>
        <v>#N/A</v>
      </c>
      <c r="K2505" s="51" t="e">
        <f>VLOOKUP(H2505,Stock_list!A:T,16,FALSE)</f>
        <v>#N/A</v>
      </c>
      <c r="L2505" s="4">
        <v>44252</v>
      </c>
      <c r="M2505" s="143">
        <v>1</v>
      </c>
      <c r="P2505" s="4" t="e">
        <f>VLOOKUP(H2505,Stock_list!A:Y,25,FALSE)</f>
        <v>#N/A</v>
      </c>
      <c r="Q2505" s="133"/>
      <c r="T2505" s="144"/>
      <c r="U2505" s="145" t="e">
        <f>VLOOKUP(H2505,Stock_list!A:N,14,FALSE)</f>
        <v>#N/A</v>
      </c>
    </row>
    <row r="2506" spans="1:21" ht="16.5" customHeight="1">
      <c r="A2506" s="159" t="s">
        <v>261</v>
      </c>
      <c r="B2506" s="114" t="str">
        <f>VLOOKUP(A2506,'Data pick slip'!B:F,5,FALSE)</f>
        <v>KHJ-MC100-00</v>
      </c>
      <c r="F2506" s="157" t="s">
        <v>379</v>
      </c>
      <c r="H2506" s="138">
        <v>932</v>
      </c>
      <c r="I2506" s="139" t="e">
        <f>VLOOKUP(H2506,Stock_list!A:R,18,FALSE)</f>
        <v>#N/A</v>
      </c>
      <c r="J2506" s="139" t="e">
        <f>VLOOKUP(H2506,Stock_list!A:S,17,FALSE)</f>
        <v>#N/A</v>
      </c>
      <c r="K2506" s="51" t="e">
        <f>VLOOKUP(H2506,Stock_list!A:T,16,FALSE)</f>
        <v>#N/A</v>
      </c>
      <c r="L2506" s="4">
        <v>44186</v>
      </c>
      <c r="M2506" s="140">
        <v>32</v>
      </c>
      <c r="P2506" s="4" t="e">
        <f>VLOOKUP(H2506,Stock_list!A:Y,25,FALSE)</f>
        <v>#N/A</v>
      </c>
      <c r="Q2506" s="143"/>
      <c r="T2506" s="144"/>
      <c r="U2506" s="145" t="e">
        <f>VLOOKUP(H2506,Stock_list!A:N,14,FALSE)</f>
        <v>#N/A</v>
      </c>
    </row>
    <row r="2507" spans="1:21" ht="16.5" customHeight="1">
      <c r="A2507" s="159" t="s">
        <v>261</v>
      </c>
      <c r="B2507" s="114" t="str">
        <f>VLOOKUP(A2507,'Data pick slip'!B:F,5,FALSE)</f>
        <v>KHJ-MC100-00</v>
      </c>
      <c r="F2507" s="157" t="s">
        <v>290</v>
      </c>
      <c r="H2507" s="138">
        <v>932</v>
      </c>
      <c r="I2507" s="139" t="e">
        <f>VLOOKUP(H2507,Stock_list!A:R,18,FALSE)</f>
        <v>#N/A</v>
      </c>
      <c r="J2507" s="139" t="e">
        <f>VLOOKUP(H2507,Stock_list!A:S,17,FALSE)</f>
        <v>#N/A</v>
      </c>
      <c r="K2507" s="51" t="e">
        <f>VLOOKUP(H2507,Stock_list!A:T,16,FALSE)</f>
        <v>#N/A</v>
      </c>
      <c r="L2507" s="4">
        <v>44186</v>
      </c>
      <c r="O2507" s="132">
        <f>32-32</f>
        <v>0</v>
      </c>
      <c r="P2507" s="4" t="e">
        <f>VLOOKUP(H2507,Stock_list!A:Y,25,FALSE)</f>
        <v>#N/A</v>
      </c>
      <c r="Q2507" s="143"/>
      <c r="T2507" s="144"/>
      <c r="U2507" s="145" t="e">
        <f>VLOOKUP(H2507,Stock_list!A:N,14,FALSE)</f>
        <v>#N/A</v>
      </c>
    </row>
    <row r="2508" spans="1:21" ht="16.5" customHeight="1">
      <c r="A2508" s="159" t="s">
        <v>264</v>
      </c>
      <c r="B2508" s="114" t="str">
        <f>VLOOKUP(A2508,'Data pick slip'!B:F,5,FALSE)</f>
        <v>KHJ-MC200-00</v>
      </c>
      <c r="F2508" s="157" t="s">
        <v>290</v>
      </c>
      <c r="H2508" s="138">
        <v>932</v>
      </c>
      <c r="I2508" s="139" t="e">
        <f>VLOOKUP(H2508,Stock_list!A:R,18,FALSE)</f>
        <v>#N/A</v>
      </c>
      <c r="J2508" s="139" t="e">
        <f>VLOOKUP(H2508,Stock_list!A:S,17,FALSE)</f>
        <v>#N/A</v>
      </c>
      <c r="K2508" s="51" t="e">
        <f>VLOOKUP(H2508,Stock_list!A:T,16,FALSE)</f>
        <v>#N/A</v>
      </c>
      <c r="L2508" s="4">
        <v>44186</v>
      </c>
      <c r="M2508" s="140">
        <v>2</v>
      </c>
      <c r="P2508" s="4" t="e">
        <f>VLOOKUP(H2508,Stock_list!A:Y,25,FALSE)</f>
        <v>#N/A</v>
      </c>
      <c r="Q2508" s="143"/>
      <c r="S2508" s="123" t="s">
        <v>521</v>
      </c>
      <c r="T2508" s="144" t="s">
        <v>892</v>
      </c>
      <c r="U2508" s="145" t="e">
        <f>VLOOKUP(H2508,Stock_list!A:N,14,FALSE)</f>
        <v>#N/A</v>
      </c>
    </row>
    <row r="2509" spans="1:21" ht="16.5" customHeight="1">
      <c r="A2509" s="159" t="s">
        <v>265</v>
      </c>
      <c r="B2509" s="114" t="str">
        <f>VLOOKUP(A2509,'Data pick slip'!B:F,5,FALSE)</f>
        <v>KHJ-MC400-00</v>
      </c>
      <c r="F2509" s="157" t="s">
        <v>290</v>
      </c>
      <c r="H2509" s="138">
        <v>932</v>
      </c>
      <c r="I2509" s="139" t="e">
        <f>VLOOKUP(H2509,Stock_list!A:R,18,FALSE)</f>
        <v>#N/A</v>
      </c>
      <c r="J2509" s="139" t="e">
        <f>VLOOKUP(H2509,Stock_list!A:S,17,FALSE)</f>
        <v>#N/A</v>
      </c>
      <c r="K2509" s="51" t="e">
        <f>VLOOKUP(H2509,Stock_list!A:T,16,FALSE)</f>
        <v>#N/A</v>
      </c>
      <c r="L2509" s="4">
        <v>44186</v>
      </c>
      <c r="M2509" s="140">
        <v>2</v>
      </c>
      <c r="P2509" s="4" t="e">
        <f>VLOOKUP(H2509,Stock_list!A:Y,25,FALSE)</f>
        <v>#N/A</v>
      </c>
      <c r="Q2509" s="143"/>
      <c r="S2509" s="123" t="s">
        <v>521</v>
      </c>
      <c r="T2509" s="144" t="s">
        <v>892</v>
      </c>
      <c r="U2509" s="145" t="e">
        <f>VLOOKUP(H2509,Stock_list!A:N,14,FALSE)</f>
        <v>#N/A</v>
      </c>
    </row>
    <row r="2510" spans="1:21" ht="16.5" customHeight="1">
      <c r="A2510" s="159" t="s">
        <v>261</v>
      </c>
      <c r="B2510" s="114" t="str">
        <f>VLOOKUP(A2510,'Data pick slip'!B:F,5,FALSE)</f>
        <v>KHJ-MC100-00</v>
      </c>
      <c r="F2510" s="157" t="s">
        <v>379</v>
      </c>
      <c r="H2510" s="138">
        <v>735</v>
      </c>
      <c r="I2510" s="139" t="e">
        <f>VLOOKUP(H2510,Stock_list!A:R,18,FALSE)</f>
        <v>#N/A</v>
      </c>
      <c r="J2510" s="139" t="e">
        <f>VLOOKUP(H2510,Stock_list!A:S,17,FALSE)</f>
        <v>#N/A</v>
      </c>
      <c r="K2510" s="51" t="e">
        <f>VLOOKUP(H2510,Stock_list!A:T,16,FALSE)</f>
        <v>#N/A</v>
      </c>
      <c r="L2510" s="4">
        <v>44139</v>
      </c>
      <c r="M2510" s="140">
        <v>8</v>
      </c>
      <c r="P2510" s="4" t="e">
        <f>VLOOKUP(H2510,Stock_list!A:Y,25,FALSE)</f>
        <v>#N/A</v>
      </c>
      <c r="Q2510" s="143"/>
      <c r="T2510" s="144"/>
      <c r="U2510" s="145" t="e">
        <f>VLOOKUP(H2510,Stock_list!A:N,14,FALSE)</f>
        <v>#N/A</v>
      </c>
    </row>
    <row r="2511" spans="1:21" ht="16.5" customHeight="1">
      <c r="A2511" s="159" t="s">
        <v>264</v>
      </c>
      <c r="B2511" s="114" t="str">
        <f>VLOOKUP(A2511,'Data pick slip'!B:F,5,FALSE)</f>
        <v>KHJ-MC200-00</v>
      </c>
      <c r="F2511" s="157" t="s">
        <v>379</v>
      </c>
      <c r="H2511" s="138">
        <v>735</v>
      </c>
      <c r="I2511" s="139" t="e">
        <f>VLOOKUP(H2511,Stock_list!A:R,18,FALSE)</f>
        <v>#N/A</v>
      </c>
      <c r="J2511" s="139" t="e">
        <f>VLOOKUP(H2511,Stock_list!A:S,17,FALSE)</f>
        <v>#N/A</v>
      </c>
      <c r="K2511" s="51" t="e">
        <f>VLOOKUP(H2511,Stock_list!A:T,16,FALSE)</f>
        <v>#N/A</v>
      </c>
      <c r="L2511" s="4">
        <v>44139</v>
      </c>
      <c r="M2511" s="140">
        <v>4</v>
      </c>
      <c r="P2511" s="4" t="e">
        <f>VLOOKUP(H2511,Stock_list!A:Y,25,FALSE)</f>
        <v>#N/A</v>
      </c>
      <c r="Q2511" s="143"/>
      <c r="T2511" s="144"/>
      <c r="U2511" s="145" t="e">
        <f>VLOOKUP(H2511,Stock_list!A:N,14,FALSE)</f>
        <v>#N/A</v>
      </c>
    </row>
    <row r="2512" spans="1:21" ht="16.5" customHeight="1">
      <c r="A2512" s="159" t="s">
        <v>265</v>
      </c>
      <c r="B2512" s="114" t="str">
        <f>VLOOKUP(A2512,'Data pick slip'!B:F,5,FALSE)</f>
        <v>KHJ-MC400-00</v>
      </c>
      <c r="F2512" s="157" t="s">
        <v>379</v>
      </c>
      <c r="H2512" s="138">
        <v>735</v>
      </c>
      <c r="I2512" s="139" t="e">
        <f>VLOOKUP(H2512,Stock_list!A:R,18,FALSE)</f>
        <v>#N/A</v>
      </c>
      <c r="J2512" s="139" t="e">
        <f>VLOOKUP(H2512,Stock_list!A:S,17,FALSE)</f>
        <v>#N/A</v>
      </c>
      <c r="K2512" s="51" t="e">
        <f>VLOOKUP(H2512,Stock_list!A:T,16,FALSE)</f>
        <v>#N/A</v>
      </c>
      <c r="L2512" s="4">
        <v>44139</v>
      </c>
      <c r="M2512" s="140">
        <v>2</v>
      </c>
      <c r="P2512" s="4" t="e">
        <f>VLOOKUP(H2512,Stock_list!A:Y,25,FALSE)</f>
        <v>#N/A</v>
      </c>
      <c r="Q2512" s="143"/>
      <c r="T2512" s="144"/>
      <c r="U2512" s="145" t="e">
        <f>VLOOKUP(H2512,Stock_list!A:N,14,FALSE)</f>
        <v>#N/A</v>
      </c>
    </row>
    <row r="2513" spans="1:21" ht="16.5" customHeight="1">
      <c r="A2513" s="159" t="s">
        <v>265</v>
      </c>
      <c r="B2513" s="114" t="str">
        <f>VLOOKUP(A2513,'Data pick slip'!B:F,5,FALSE)</f>
        <v>KHJ-MC400-00</v>
      </c>
      <c r="F2513" s="157" t="s">
        <v>290</v>
      </c>
      <c r="H2513" s="138">
        <v>735</v>
      </c>
      <c r="I2513" s="139" t="e">
        <f>VLOOKUP(H2513,Stock_list!A:R,18,FALSE)</f>
        <v>#N/A</v>
      </c>
      <c r="J2513" s="139" t="e">
        <f>VLOOKUP(H2513,Stock_list!A:S,17,FALSE)</f>
        <v>#N/A</v>
      </c>
      <c r="K2513" s="51" t="e">
        <f>VLOOKUP(H2513,Stock_list!A:T,16,FALSE)</f>
        <v>#N/A</v>
      </c>
      <c r="L2513" s="4">
        <v>44139</v>
      </c>
      <c r="M2513" s="140">
        <v>1</v>
      </c>
      <c r="P2513" s="4" t="e">
        <f>VLOOKUP(H2513,Stock_list!A:Y,25,FALSE)</f>
        <v>#N/A</v>
      </c>
      <c r="Q2513" s="143"/>
      <c r="S2513" s="268" t="s">
        <v>295</v>
      </c>
      <c r="T2513" s="144" t="s">
        <v>893</v>
      </c>
      <c r="U2513" s="145" t="e">
        <f>VLOOKUP(H2513,Stock_list!A:N,14,FALSE)</f>
        <v>#N/A</v>
      </c>
    </row>
    <row r="2514" spans="1:21" ht="16.5" customHeight="1">
      <c r="A2514" s="159" t="s">
        <v>261</v>
      </c>
      <c r="B2514" s="114" t="str">
        <f>VLOOKUP(A2514,'Data pick slip'!B:F,5,FALSE)</f>
        <v>KHJ-MC100-00</v>
      </c>
      <c r="F2514" s="157" t="s">
        <v>379</v>
      </c>
      <c r="H2514" s="138">
        <v>936</v>
      </c>
      <c r="I2514" s="139" t="e">
        <f>VLOOKUP(H2514,Stock_list!A:R,18,FALSE)</f>
        <v>#N/A</v>
      </c>
      <c r="J2514" s="139" t="e">
        <f>VLOOKUP(H2514,Stock_list!A:S,17,FALSE)</f>
        <v>#N/A</v>
      </c>
      <c r="K2514" s="51" t="e">
        <f>VLOOKUP(H2514,Stock_list!A:T,16,FALSE)</f>
        <v>#N/A</v>
      </c>
      <c r="L2514" s="4">
        <v>44203</v>
      </c>
      <c r="M2514" s="132">
        <v>7</v>
      </c>
      <c r="P2514" s="4" t="e">
        <f>VLOOKUP(H2514,Stock_list!A:Y,25,FALSE)</f>
        <v>#N/A</v>
      </c>
      <c r="Q2514" s="143"/>
      <c r="T2514" s="144"/>
      <c r="U2514" s="145" t="e">
        <f>VLOOKUP(H2514,Stock_list!A:N,14,FALSE)</f>
        <v>#N/A</v>
      </c>
    </row>
    <row r="2515" spans="1:21" ht="16.5" customHeight="1">
      <c r="A2515" s="159" t="s">
        <v>264</v>
      </c>
      <c r="B2515" s="114" t="str">
        <f>VLOOKUP(A2515,'Data pick slip'!B:F,5,FALSE)</f>
        <v>KHJ-MC200-00</v>
      </c>
      <c r="F2515" s="157" t="s">
        <v>290</v>
      </c>
      <c r="H2515" s="138">
        <v>936</v>
      </c>
      <c r="I2515" s="139" t="e">
        <f>VLOOKUP(H2515,Stock_list!A:R,18,FALSE)</f>
        <v>#N/A</v>
      </c>
      <c r="J2515" s="139" t="e">
        <f>VLOOKUP(H2515,Stock_list!A:S,17,FALSE)</f>
        <v>#N/A</v>
      </c>
      <c r="K2515" s="51" t="e">
        <f>VLOOKUP(H2515,Stock_list!A:T,16,FALSE)</f>
        <v>#N/A</v>
      </c>
      <c r="L2515" s="4">
        <v>44203</v>
      </c>
      <c r="M2515" s="132">
        <v>2</v>
      </c>
      <c r="P2515" s="4" t="e">
        <f>VLOOKUP(H2515,Stock_list!A:Y,25,FALSE)</f>
        <v>#N/A</v>
      </c>
      <c r="Q2515" s="143"/>
      <c r="S2515" s="268" t="s">
        <v>295</v>
      </c>
      <c r="T2515" s="266" t="s">
        <v>883</v>
      </c>
      <c r="U2515" s="145" t="e">
        <f>VLOOKUP(H2515,Stock_list!A:N,14,FALSE)</f>
        <v>#N/A</v>
      </c>
    </row>
    <row r="2516" spans="1:21" ht="16.5" customHeight="1">
      <c r="A2516" s="159" t="s">
        <v>265</v>
      </c>
      <c r="B2516" s="114" t="str">
        <f>VLOOKUP(A2516,'Data pick slip'!B:F,5,FALSE)</f>
        <v>KHJ-MC400-00</v>
      </c>
      <c r="F2516" s="157" t="s">
        <v>290</v>
      </c>
      <c r="H2516" s="138">
        <v>806</v>
      </c>
      <c r="I2516" s="139" t="e">
        <f>VLOOKUP(H2516,Stock_list!A:R,18,FALSE)</f>
        <v>#N/A</v>
      </c>
      <c r="J2516" s="139" t="e">
        <f>VLOOKUP(H2516,Stock_list!A:S,17,FALSE)</f>
        <v>#N/A</v>
      </c>
      <c r="K2516" s="51" t="e">
        <f>VLOOKUP(H2516,Stock_list!A:T,16,FALSE)</f>
        <v>#N/A</v>
      </c>
      <c r="L2516" s="4">
        <v>44174</v>
      </c>
      <c r="M2516" s="132">
        <v>1</v>
      </c>
      <c r="P2516" s="4" t="e">
        <f>VLOOKUP(H2516,Stock_list!A:Y,25,FALSE)</f>
        <v>#N/A</v>
      </c>
      <c r="Q2516" s="143"/>
      <c r="T2516" s="144"/>
      <c r="U2516" s="145" t="e">
        <f>VLOOKUP(H2516,Stock_list!A:N,14,FALSE)</f>
        <v>#N/A</v>
      </c>
    </row>
    <row r="2517" spans="1:21" ht="16.5" customHeight="1">
      <c r="A2517" s="159" t="s">
        <v>261</v>
      </c>
      <c r="B2517" s="114" t="str">
        <f>VLOOKUP(A2517,'Data pick slip'!B:F,5,FALSE)</f>
        <v>KHJ-MC100-00</v>
      </c>
      <c r="F2517" s="157" t="s">
        <v>290</v>
      </c>
      <c r="I2517" s="139" t="s">
        <v>617</v>
      </c>
      <c r="J2517" s="139" t="s">
        <v>894</v>
      </c>
      <c r="K2517" s="51" t="s">
        <v>225</v>
      </c>
      <c r="L2517" s="4">
        <v>44153</v>
      </c>
      <c r="M2517" s="140">
        <v>4</v>
      </c>
      <c r="P2517" s="4" t="s">
        <v>214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264</v>
      </c>
      <c r="B2518" s="114" t="str">
        <f>VLOOKUP(A2518,'Data pick slip'!B:F,5,FALSE)</f>
        <v>KHJ-MC200-00</v>
      </c>
      <c r="F2518" s="157" t="s">
        <v>290</v>
      </c>
      <c r="I2518" s="139" t="s">
        <v>617</v>
      </c>
      <c r="J2518" s="139" t="s">
        <v>895</v>
      </c>
      <c r="K2518" s="51" t="s">
        <v>225</v>
      </c>
      <c r="L2518" s="4">
        <v>44148</v>
      </c>
      <c r="M2518" s="140">
        <v>15</v>
      </c>
      <c r="P2518" s="4" t="s">
        <v>214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265</v>
      </c>
      <c r="B2519" s="114" t="str">
        <f>VLOOKUP(A2519,'Data pick slip'!B:F,5,FALSE)</f>
        <v>KHJ-MC400-00</v>
      </c>
      <c r="F2519" s="157" t="s">
        <v>290</v>
      </c>
      <c r="I2519" s="139" t="s">
        <v>617</v>
      </c>
      <c r="J2519" s="139" t="s">
        <v>895</v>
      </c>
      <c r="K2519" s="51" t="s">
        <v>225</v>
      </c>
      <c r="L2519" s="4">
        <v>44148</v>
      </c>
      <c r="M2519" s="140">
        <v>3</v>
      </c>
      <c r="P2519" s="4" t="s">
        <v>214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266</v>
      </c>
      <c r="B2520" s="114" t="str">
        <f>VLOOKUP(A2520,'Data pick slip'!B:F,5,FALSE)</f>
        <v>KHJ-MC500-00</v>
      </c>
      <c r="F2520" s="157" t="s">
        <v>290</v>
      </c>
      <c r="I2520" s="139" t="s">
        <v>611</v>
      </c>
      <c r="J2520" s="139" t="s">
        <v>896</v>
      </c>
      <c r="K2520" s="51" t="s">
        <v>225</v>
      </c>
      <c r="L2520" s="4">
        <v>44148</v>
      </c>
      <c r="M2520" s="140">
        <v>1</v>
      </c>
      <c r="P2520" s="4" t="s">
        <v>214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267</v>
      </c>
      <c r="B2521" s="114" t="str">
        <f>VLOOKUP(A2521,'Data pick slip'!B:F,5,FALSE)</f>
        <v>KHJ-MC600-00</v>
      </c>
      <c r="F2521" s="157" t="s">
        <v>290</v>
      </c>
      <c r="I2521" s="139" t="s">
        <v>611</v>
      </c>
      <c r="J2521" s="139" t="s">
        <v>897</v>
      </c>
      <c r="K2521" s="51" t="s">
        <v>225</v>
      </c>
      <c r="L2521" s="4">
        <v>44148</v>
      </c>
      <c r="M2521" s="140">
        <v>1</v>
      </c>
      <c r="P2521" s="4" t="s">
        <v>214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261</v>
      </c>
      <c r="B2522" s="114" t="str">
        <f>VLOOKUP(A2522,'Data pick slip'!B:F,5,FALSE)</f>
        <v>KHJ-MC100-00</v>
      </c>
      <c r="F2522" s="157" t="s">
        <v>379</v>
      </c>
      <c r="H2522" s="138">
        <v>942</v>
      </c>
      <c r="I2522" s="139" t="e">
        <f>VLOOKUP(H2522,Stock_list!A:R,18,FALSE)</f>
        <v>#N/A</v>
      </c>
      <c r="J2522" s="139" t="e">
        <f>VLOOKUP(H2522,Stock_list!A:S,17,FALSE)</f>
        <v>#N/A</v>
      </c>
      <c r="K2522" s="51" t="e">
        <f>VLOOKUP(H2522,Stock_list!A:T,16,FALSE)</f>
        <v>#N/A</v>
      </c>
      <c r="L2522" s="4">
        <v>44256</v>
      </c>
      <c r="M2522" s="143">
        <v>20</v>
      </c>
      <c r="P2522" s="4" t="e">
        <f>VLOOKUP(H2522,Stock_list!A:Y,25,FALSE)</f>
        <v>#N/A</v>
      </c>
      <c r="Q2522" s="133"/>
      <c r="T2522" s="144"/>
      <c r="U2522" s="145" t="e">
        <f>VLOOKUP(H2522,Stock_list!A:N,14,FALSE)</f>
        <v>#N/A</v>
      </c>
    </row>
    <row r="2523" spans="1:21" ht="16.5" customHeight="1">
      <c r="A2523" s="159" t="s">
        <v>264</v>
      </c>
      <c r="B2523" s="114" t="str">
        <f>VLOOKUP(A2523,'Data pick slip'!B:F,5,FALSE)</f>
        <v>KHJ-MC200-00</v>
      </c>
      <c r="F2523" s="157" t="s">
        <v>379</v>
      </c>
      <c r="H2523" s="138">
        <v>942</v>
      </c>
      <c r="I2523" s="139" t="e">
        <f>VLOOKUP(H2523,Stock_list!A:R,18,FALSE)</f>
        <v>#N/A</v>
      </c>
      <c r="J2523" s="139" t="e">
        <f>VLOOKUP(H2523,Stock_list!A:S,17,FALSE)</f>
        <v>#N/A</v>
      </c>
      <c r="K2523" s="51" t="e">
        <f>VLOOKUP(H2523,Stock_list!A:T,16,FALSE)</f>
        <v>#N/A</v>
      </c>
      <c r="L2523" s="4">
        <v>44256</v>
      </c>
      <c r="M2523" s="143">
        <v>6</v>
      </c>
      <c r="P2523" s="4" t="e">
        <f>VLOOKUP(H2523,Stock_list!A:Y,25,FALSE)</f>
        <v>#N/A</v>
      </c>
      <c r="Q2523" s="133"/>
      <c r="T2523" s="144"/>
      <c r="U2523" s="145" t="e">
        <f>VLOOKUP(H2523,Stock_list!A:N,14,FALSE)</f>
        <v>#N/A</v>
      </c>
    </row>
    <row r="2524" spans="1:21" ht="16.5" customHeight="1">
      <c r="A2524" s="159" t="s">
        <v>265</v>
      </c>
      <c r="B2524" s="114" t="str">
        <f>VLOOKUP(A2524,'Data pick slip'!B:F,5,FALSE)</f>
        <v>KHJ-MC400-00</v>
      </c>
      <c r="F2524" s="157" t="s">
        <v>379</v>
      </c>
      <c r="H2524" s="138">
        <v>942</v>
      </c>
      <c r="I2524" s="286" t="e">
        <f>VLOOKUP(H2524,Stock_list!A:R,18,FALSE)</f>
        <v>#N/A</v>
      </c>
      <c r="J2524" s="286" t="e">
        <f>VLOOKUP(H2524,Stock_list!A:S,17,FALSE)</f>
        <v>#N/A</v>
      </c>
      <c r="K2524" s="259" t="e">
        <f>VLOOKUP(H2524,Stock_list!A:T,16,FALSE)</f>
        <v>#N/A</v>
      </c>
      <c r="L2524" s="287">
        <v>44256</v>
      </c>
      <c r="M2524" s="289">
        <v>1</v>
      </c>
      <c r="P2524" s="4" t="e">
        <f>VLOOKUP(H2524,Stock_list!A:Y,25,FALSE)</f>
        <v>#N/A</v>
      </c>
      <c r="Q2524" s="133"/>
      <c r="T2524" s="144"/>
      <c r="U2524" s="145" t="e">
        <f>VLOOKUP(H2524,Stock_list!A:N,14,FALSE)</f>
        <v>#N/A</v>
      </c>
    </row>
    <row r="2525" spans="1:21" ht="16.5" customHeight="1">
      <c r="A2525" s="159" t="s">
        <v>268</v>
      </c>
      <c r="B2525" s="114" t="str">
        <f>VLOOKUP(A2525,'Data pick slip'!B:F,5,FALSE)</f>
        <v>KHJ-MC700-00</v>
      </c>
      <c r="F2525" s="157" t="s">
        <v>379</v>
      </c>
      <c r="H2525" s="138">
        <v>942</v>
      </c>
      <c r="I2525" s="139" t="e">
        <f>VLOOKUP(H2525,Stock_list!A:R,18,FALSE)</f>
        <v>#N/A</v>
      </c>
      <c r="J2525" s="139" t="e">
        <f>VLOOKUP(H2525,Stock_list!A:S,17,FALSE)</f>
        <v>#N/A</v>
      </c>
      <c r="K2525" s="51" t="e">
        <f>VLOOKUP(H2525,Stock_list!A:T,16,FALSE)</f>
        <v>#N/A</v>
      </c>
      <c r="L2525" s="4">
        <v>44256</v>
      </c>
      <c r="M2525" s="132">
        <v>2</v>
      </c>
      <c r="P2525" s="4" t="e">
        <f>VLOOKUP(H2525,Stock_list!A:Y,25,FALSE)</f>
        <v>#N/A</v>
      </c>
      <c r="Q2525" s="143"/>
      <c r="T2525" s="144"/>
      <c r="U2525" s="145" t="e">
        <f>VLOOKUP(H2525,Stock_list!A:N,14,FALSE)</f>
        <v>#N/A</v>
      </c>
    </row>
    <row r="2526" spans="1:21" ht="16.5" customHeight="1">
      <c r="A2526" s="159" t="s">
        <v>261</v>
      </c>
      <c r="B2526" s="114" t="str">
        <f>VLOOKUP(A2526,'Data pick slip'!B:F,5,FALSE)</f>
        <v>KHJ-MC100-00</v>
      </c>
      <c r="F2526" s="157" t="s">
        <v>379</v>
      </c>
      <c r="H2526" s="138">
        <v>942</v>
      </c>
      <c r="I2526" s="139" t="e">
        <f>VLOOKUP(H2526,Stock_list!A:R,18,FALSE)</f>
        <v>#N/A</v>
      </c>
      <c r="J2526" s="139" t="e">
        <f>VLOOKUP(H2526,Stock_list!A:S,17,FALSE)</f>
        <v>#N/A</v>
      </c>
      <c r="K2526" s="51" t="e">
        <f>VLOOKUP(H2526,Stock_list!A:T,16,FALSE)</f>
        <v>#N/A</v>
      </c>
      <c r="L2526" s="4">
        <v>44227</v>
      </c>
      <c r="M2526" s="143">
        <v>30</v>
      </c>
      <c r="P2526" s="4" t="e">
        <f>VLOOKUP(H2526,Stock_list!A:Y,25,FALSE)</f>
        <v>#N/A</v>
      </c>
      <c r="Q2526" s="133"/>
      <c r="T2526" s="144"/>
      <c r="U2526" s="145" t="e">
        <f>VLOOKUP(H2526,Stock_list!A:N,14,FALSE)</f>
        <v>#N/A</v>
      </c>
    </row>
    <row r="2527" spans="1:21" ht="16.5" customHeight="1">
      <c r="A2527" s="159" t="s">
        <v>264</v>
      </c>
      <c r="B2527" s="114" t="str">
        <f>VLOOKUP(A2527,'Data pick slip'!B:F,5,FALSE)</f>
        <v>KHJ-MC200-00</v>
      </c>
      <c r="F2527" s="157" t="s">
        <v>379</v>
      </c>
      <c r="H2527" s="138">
        <v>942</v>
      </c>
      <c r="I2527" s="139" t="e">
        <f>VLOOKUP(H2527,Stock_list!A:R,18,FALSE)</f>
        <v>#N/A</v>
      </c>
      <c r="J2527" s="139" t="e">
        <f>VLOOKUP(H2527,Stock_list!A:S,17,FALSE)</f>
        <v>#N/A</v>
      </c>
      <c r="K2527" s="51" t="e">
        <f>VLOOKUP(H2527,Stock_list!A:T,16,FALSE)</f>
        <v>#N/A</v>
      </c>
      <c r="L2527" s="4">
        <v>44227</v>
      </c>
      <c r="M2527" s="143">
        <v>12</v>
      </c>
      <c r="P2527" s="4" t="e">
        <f>VLOOKUP(H2527,Stock_list!A:Y,25,FALSE)</f>
        <v>#N/A</v>
      </c>
      <c r="Q2527" s="133"/>
      <c r="T2527" s="144"/>
      <c r="U2527" s="145" t="e">
        <f>VLOOKUP(H2527,Stock_list!A:N,14,FALSE)</f>
        <v>#N/A</v>
      </c>
    </row>
    <row r="2528" spans="1:21" ht="16.5" customHeight="1">
      <c r="A2528" s="159" t="s">
        <v>265</v>
      </c>
      <c r="B2528" s="114" t="str">
        <f>VLOOKUP(A2528,'Data pick slip'!B:F,5,FALSE)</f>
        <v>KHJ-MC400-00</v>
      </c>
      <c r="F2528" s="157" t="s">
        <v>379</v>
      </c>
      <c r="H2528" s="138">
        <v>942</v>
      </c>
      <c r="I2528" s="139" t="e">
        <f>VLOOKUP(H2528,Stock_list!A:R,18,FALSE)</f>
        <v>#N/A</v>
      </c>
      <c r="J2528" s="286" t="e">
        <f>VLOOKUP(H2528,Stock_list!A:S,17,FALSE)</f>
        <v>#N/A</v>
      </c>
      <c r="K2528" s="259" t="e">
        <f>VLOOKUP(H2528,Stock_list!A:T,16,FALSE)</f>
        <v>#N/A</v>
      </c>
      <c r="L2528" s="287">
        <v>44227</v>
      </c>
      <c r="M2528" s="289">
        <v>2</v>
      </c>
      <c r="P2528" s="4" t="e">
        <f>VLOOKUP(H2528,Stock_list!A:Y,25,FALSE)</f>
        <v>#N/A</v>
      </c>
      <c r="Q2528" s="133"/>
      <c r="T2528" s="144"/>
      <c r="U2528" s="145" t="e">
        <f>VLOOKUP(H2528,Stock_list!A:N,14,FALSE)</f>
        <v>#N/A</v>
      </c>
    </row>
    <row r="2529" spans="1:21" ht="16.5" customHeight="1">
      <c r="A2529" s="159" t="s">
        <v>266</v>
      </c>
      <c r="B2529" s="114" t="str">
        <f>VLOOKUP(A2529,'Data pick slip'!B:F,5,FALSE)</f>
        <v>KHJ-MC500-00</v>
      </c>
      <c r="F2529" s="157" t="s">
        <v>379</v>
      </c>
      <c r="H2529" s="138">
        <v>942</v>
      </c>
      <c r="I2529" s="139" t="e">
        <f>VLOOKUP(H2529,Stock_list!A:R,18,FALSE)</f>
        <v>#N/A</v>
      </c>
      <c r="J2529" s="139" t="e">
        <f>VLOOKUP(H2529,Stock_list!A:S,17,FALSE)</f>
        <v>#N/A</v>
      </c>
      <c r="K2529" s="51" t="e">
        <f>VLOOKUP(H2529,Stock_list!A:T,16,FALSE)</f>
        <v>#N/A</v>
      </c>
      <c r="L2529" s="4">
        <v>44227</v>
      </c>
      <c r="M2529" s="143">
        <v>2</v>
      </c>
      <c r="P2529" s="4" t="e">
        <f>VLOOKUP(H2529,Stock_list!A:Y,25,FALSE)</f>
        <v>#N/A</v>
      </c>
      <c r="Q2529" s="133"/>
      <c r="T2529" s="144"/>
      <c r="U2529" s="145" t="e">
        <f>VLOOKUP(H2529,Stock_list!A:N,14,FALSE)</f>
        <v>#N/A</v>
      </c>
    </row>
    <row r="2530" spans="1:21" ht="16.5" customHeight="1">
      <c r="A2530" s="159" t="s">
        <v>267</v>
      </c>
      <c r="B2530" s="114" t="str">
        <f>VLOOKUP(A2530,'Data pick slip'!B:F,5,FALSE)</f>
        <v>KHJ-MC600-00</v>
      </c>
      <c r="F2530" s="157" t="s">
        <v>379</v>
      </c>
      <c r="H2530" s="138">
        <v>942</v>
      </c>
      <c r="I2530" s="139" t="e">
        <f>VLOOKUP(H2530,Stock_list!A:R,18,FALSE)</f>
        <v>#N/A</v>
      </c>
      <c r="J2530" s="139" t="e">
        <f>VLOOKUP(H2530,Stock_list!A:S,17,FALSE)</f>
        <v>#N/A</v>
      </c>
      <c r="K2530" s="51" t="e">
        <f>VLOOKUP(H2530,Stock_list!A:T,16,FALSE)</f>
        <v>#N/A</v>
      </c>
      <c r="L2530" s="4">
        <v>44227</v>
      </c>
      <c r="M2530" s="143">
        <v>2</v>
      </c>
      <c r="P2530" s="4" t="e">
        <f>VLOOKUP(H2530,Stock_list!A:Y,25,FALSE)</f>
        <v>#N/A</v>
      </c>
      <c r="Q2530" s="133"/>
      <c r="T2530" s="144"/>
      <c r="U2530" s="145" t="e">
        <f>VLOOKUP(H2530,Stock_list!A:N,14,FALSE)</f>
        <v>#N/A</v>
      </c>
    </row>
    <row r="2531" spans="1:21" ht="16.5" customHeight="1">
      <c r="A2531" s="159" t="s">
        <v>261</v>
      </c>
      <c r="B2531" s="114" t="str">
        <f>VLOOKUP(A2531,'Data pick slip'!B:F,5,FALSE)</f>
        <v>KHJ-MC100-00</v>
      </c>
      <c r="F2531" s="157" t="s">
        <v>290</v>
      </c>
      <c r="H2531" s="138">
        <v>943</v>
      </c>
      <c r="I2531" s="139" t="e">
        <f>VLOOKUP(H2531,Stock_list!A:R,18,FALSE)</f>
        <v>#N/A</v>
      </c>
      <c r="J2531" s="139" t="e">
        <f>VLOOKUP(H2531,Stock_list!A:S,17,FALSE)</f>
        <v>#N/A</v>
      </c>
      <c r="K2531" s="51" t="e">
        <f>VLOOKUP(H2531,Stock_list!A:T,16,FALSE)</f>
        <v>#N/A</v>
      </c>
      <c r="L2531" s="4">
        <v>44259</v>
      </c>
      <c r="M2531" s="132">
        <v>100</v>
      </c>
      <c r="P2531" s="4" t="e">
        <f>VLOOKUP(H2531,Stock_list!A:Y,25,FALSE)</f>
        <v>#N/A</v>
      </c>
      <c r="Q2531" s="143"/>
      <c r="T2531" s="144"/>
      <c r="U2531" s="145" t="e">
        <f>VLOOKUP(H2531,Stock_list!A:N,14,FALSE)</f>
        <v>#N/A</v>
      </c>
    </row>
    <row r="2532" spans="1:21" ht="16.5" customHeight="1">
      <c r="A2532" s="159" t="s">
        <v>261</v>
      </c>
      <c r="B2532" s="114" t="str">
        <f>VLOOKUP(A2532,'Data pick slip'!B:F,5,FALSE)</f>
        <v>KHJ-MC100-00</v>
      </c>
      <c r="F2532" s="157" t="s">
        <v>290</v>
      </c>
      <c r="H2532" s="138">
        <v>1119</v>
      </c>
      <c r="I2532" s="139" t="e">
        <f>VLOOKUP(H2532,Stock_list!A:R,18,FALSE)</f>
        <v>#N/A</v>
      </c>
      <c r="J2532" s="139" t="e">
        <f>VLOOKUP(H2532,Stock_list!A:S,17,FALSE)</f>
        <v>#N/A</v>
      </c>
      <c r="K2532" s="51" t="e">
        <f>VLOOKUP(H2532,Stock_list!A:T,16,FALSE)</f>
        <v>#N/A</v>
      </c>
      <c r="L2532" s="4">
        <v>44158</v>
      </c>
      <c r="O2532" s="132">
        <f>40-40</f>
        <v>0</v>
      </c>
      <c r="P2532" s="4" t="e">
        <f>VLOOKUP(H2532,Stock_list!A:Y,25,FALSE)</f>
        <v>#N/A</v>
      </c>
      <c r="Q2532" s="143"/>
      <c r="T2532" s="144"/>
      <c r="U2532" s="145" t="e">
        <f>VLOOKUP(H2532,Stock_list!A:N,14,FALSE)</f>
        <v>#N/A</v>
      </c>
    </row>
    <row r="2533" spans="1:21" ht="16.5" customHeight="1">
      <c r="A2533" s="159" t="s">
        <v>261</v>
      </c>
      <c r="B2533" s="114" t="str">
        <f>VLOOKUP(A2533,'Data pick slip'!B:F,5,FALSE)</f>
        <v>KHJ-MC100-00</v>
      </c>
      <c r="F2533" s="157" t="s">
        <v>379</v>
      </c>
      <c r="H2533" s="138">
        <v>977</v>
      </c>
      <c r="I2533" s="139" t="e">
        <f>VLOOKUP(H2533,Stock_list!A:R,18,FALSE)</f>
        <v>#N/A</v>
      </c>
      <c r="J2533" s="139" t="e">
        <f>VLOOKUP(H2533,Stock_list!A:S,17,FALSE)</f>
        <v>#N/A</v>
      </c>
      <c r="K2533" s="51" t="e">
        <f>VLOOKUP(H2533,Stock_list!A:T,16,FALSE)</f>
        <v>#N/A</v>
      </c>
      <c r="L2533" s="4">
        <v>44301</v>
      </c>
      <c r="M2533" s="132">
        <v>20</v>
      </c>
      <c r="P2533" s="4" t="e">
        <f>VLOOKUP(H2533,Stock_list!A:Y,25,FALSE)</f>
        <v>#N/A</v>
      </c>
      <c r="Q2533" s="143"/>
      <c r="T2533" s="144"/>
      <c r="U2533" s="145" t="e">
        <f>VLOOKUP(H2533,Stock_list!A:N,14,FALSE)</f>
        <v>#N/A</v>
      </c>
    </row>
    <row r="2534" spans="1:21" ht="16.5" customHeight="1">
      <c r="A2534" s="159" t="s">
        <v>264</v>
      </c>
      <c r="B2534" s="114" t="str">
        <f>VLOOKUP(A2534,'Data pick slip'!B:F,5,FALSE)</f>
        <v>KHJ-MC200-00</v>
      </c>
      <c r="F2534" s="157" t="s">
        <v>379</v>
      </c>
      <c r="H2534" s="138">
        <v>977</v>
      </c>
      <c r="I2534" s="139" t="e">
        <f>VLOOKUP(H2534,Stock_list!A:R,18,FALSE)</f>
        <v>#N/A</v>
      </c>
      <c r="J2534" s="139" t="e">
        <f>VLOOKUP(H2534,Stock_list!A:S,17,FALSE)</f>
        <v>#N/A</v>
      </c>
      <c r="K2534" s="51" t="e">
        <f>VLOOKUP(H2534,Stock_list!A:T,16,FALSE)</f>
        <v>#N/A</v>
      </c>
      <c r="L2534" s="4">
        <v>44301</v>
      </c>
      <c r="M2534" s="132">
        <v>10</v>
      </c>
      <c r="P2534" s="4" t="e">
        <f>VLOOKUP(H2534,Stock_list!A:Y,25,FALSE)</f>
        <v>#N/A</v>
      </c>
      <c r="Q2534" s="143"/>
      <c r="T2534" s="144"/>
      <c r="U2534" s="145" t="e">
        <f>VLOOKUP(H2534,Stock_list!A:N,14,FALSE)</f>
        <v>#N/A</v>
      </c>
    </row>
    <row r="2535" spans="1:21" ht="16.5" customHeight="1">
      <c r="A2535" s="159" t="s">
        <v>265</v>
      </c>
      <c r="B2535" s="114" t="str">
        <f>VLOOKUP(A2535,'Data pick slip'!B:F,5,FALSE)</f>
        <v>KHJ-MC400-00</v>
      </c>
      <c r="F2535" s="157" t="s">
        <v>379</v>
      </c>
      <c r="H2535" s="138">
        <v>977</v>
      </c>
      <c r="I2535" s="139" t="e">
        <f>VLOOKUP(H2535,Stock_list!A:R,18,FALSE)</f>
        <v>#N/A</v>
      </c>
      <c r="J2535" s="139" t="e">
        <f>VLOOKUP(H2535,Stock_list!A:S,17,FALSE)</f>
        <v>#N/A</v>
      </c>
      <c r="K2535" s="51" t="e">
        <f>VLOOKUP(H2535,Stock_list!A:T,16,FALSE)</f>
        <v>#N/A</v>
      </c>
      <c r="L2535" s="4">
        <v>44301</v>
      </c>
      <c r="M2535" s="132">
        <v>3</v>
      </c>
      <c r="P2535" s="4" t="e">
        <f>VLOOKUP(H2535,Stock_list!A:Y,25,FALSE)</f>
        <v>#N/A</v>
      </c>
      <c r="Q2535" s="143"/>
      <c r="T2535" s="144"/>
      <c r="U2535" s="145" t="e">
        <f>VLOOKUP(H2535,Stock_list!A:N,14,FALSE)</f>
        <v>#N/A</v>
      </c>
    </row>
    <row r="2536" spans="1:21" ht="16.5" customHeight="1">
      <c r="A2536" s="159" t="s">
        <v>264</v>
      </c>
      <c r="B2536" s="114" t="str">
        <f>VLOOKUP(A2536,'Data pick slip'!B:F,5,FALSE)</f>
        <v>KHJ-MC200-00</v>
      </c>
      <c r="F2536" s="157" t="s">
        <v>378</v>
      </c>
      <c r="I2536" s="139" t="s">
        <v>533</v>
      </c>
      <c r="J2536" s="139" t="s">
        <v>446</v>
      </c>
      <c r="K2536" s="51" t="s">
        <v>225</v>
      </c>
      <c r="L2536" s="4">
        <v>44145</v>
      </c>
      <c r="M2536" s="140">
        <v>70</v>
      </c>
      <c r="P2536" s="4" t="s">
        <v>214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439</v>
      </c>
      <c r="B2537" s="114" t="e">
        <f>VLOOKUP(A2537,'Data pick slip'!B:F,5,FALSE)</f>
        <v>#N/A</v>
      </c>
      <c r="F2537" s="157" t="s">
        <v>378</v>
      </c>
      <c r="I2537" s="139" t="s">
        <v>533</v>
      </c>
      <c r="J2537" s="139" t="s">
        <v>446</v>
      </c>
      <c r="K2537" s="51" t="s">
        <v>225</v>
      </c>
      <c r="L2537" s="4">
        <v>44145</v>
      </c>
      <c r="M2537" s="140">
        <v>2</v>
      </c>
      <c r="P2537" s="4" t="s">
        <v>214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261</v>
      </c>
      <c r="B2538" s="114" t="str">
        <f>VLOOKUP(A2538,'Data pick slip'!B:F,5,FALSE)</f>
        <v>KHJ-MC100-00</v>
      </c>
      <c r="F2538" s="157" t="s">
        <v>378</v>
      </c>
      <c r="I2538" s="139" t="s">
        <v>533</v>
      </c>
      <c r="J2538" s="139" t="s">
        <v>447</v>
      </c>
      <c r="K2538" s="51" t="s">
        <v>225</v>
      </c>
      <c r="L2538" s="4">
        <v>44155</v>
      </c>
      <c r="M2538" s="140">
        <v>50</v>
      </c>
      <c r="P2538" s="4" t="s">
        <v>214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264</v>
      </c>
      <c r="B2539" s="114" t="str">
        <f>VLOOKUP(A2539,'Data pick slip'!B:F,5,FALSE)</f>
        <v>KHJ-MC200-00</v>
      </c>
      <c r="F2539" s="157" t="s">
        <v>378</v>
      </c>
      <c r="I2539" s="139" t="s">
        <v>533</v>
      </c>
      <c r="J2539" s="139" t="s">
        <v>447</v>
      </c>
      <c r="K2539" s="51" t="s">
        <v>225</v>
      </c>
      <c r="L2539" s="4">
        <v>44155</v>
      </c>
      <c r="M2539" s="140">
        <v>20</v>
      </c>
      <c r="P2539" s="4" t="s">
        <v>214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261</v>
      </c>
      <c r="B2540" s="114" t="str">
        <f>VLOOKUP(A2540,'Data pick slip'!B:F,5,FALSE)</f>
        <v>KHJ-MC100-00</v>
      </c>
      <c r="F2540" s="157" t="s">
        <v>378</v>
      </c>
      <c r="I2540" s="139" t="s">
        <v>533</v>
      </c>
      <c r="J2540" s="139" t="s">
        <v>447</v>
      </c>
      <c r="K2540" s="51" t="s">
        <v>225</v>
      </c>
      <c r="L2540" s="4">
        <v>44155</v>
      </c>
      <c r="M2540" s="140">
        <v>220</v>
      </c>
      <c r="P2540" s="4" t="s">
        <v>214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264</v>
      </c>
      <c r="B2541" s="114" t="str">
        <f>VLOOKUP(A2541,'Data pick slip'!B:F,5,FALSE)</f>
        <v>KHJ-MC200-00</v>
      </c>
      <c r="F2541" s="157" t="s">
        <v>378</v>
      </c>
      <c r="I2541" s="139" t="s">
        <v>533</v>
      </c>
      <c r="J2541" s="139" t="s">
        <v>447</v>
      </c>
      <c r="K2541" s="51" t="s">
        <v>225</v>
      </c>
      <c r="L2541" s="4">
        <v>44155</v>
      </c>
      <c r="M2541" s="140">
        <v>20</v>
      </c>
      <c r="P2541" s="4" t="s">
        <v>214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439</v>
      </c>
      <c r="B2542" s="114" t="e">
        <f>VLOOKUP(A2542,'Data pick slip'!B:F,5,FALSE)</f>
        <v>#N/A</v>
      </c>
      <c r="F2542" s="157" t="s">
        <v>378</v>
      </c>
      <c r="I2542" s="139" t="s">
        <v>533</v>
      </c>
      <c r="J2542" s="139" t="s">
        <v>447</v>
      </c>
      <c r="K2542" s="51" t="s">
        <v>225</v>
      </c>
      <c r="L2542" s="4">
        <v>44155</v>
      </c>
      <c r="M2542" s="140">
        <v>6</v>
      </c>
      <c r="P2542" s="4" t="s">
        <v>214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264</v>
      </c>
      <c r="B2543" s="114" t="str">
        <f>VLOOKUP(A2543,'Data pick slip'!B:F,5,FALSE)</f>
        <v>KHJ-MC200-00</v>
      </c>
      <c r="F2543" s="157" t="s">
        <v>290</v>
      </c>
      <c r="I2543" s="139" t="s">
        <v>623</v>
      </c>
      <c r="J2543" s="139" t="s">
        <v>898</v>
      </c>
      <c r="K2543" s="51" t="s">
        <v>225</v>
      </c>
      <c r="L2543" s="4">
        <v>44159</v>
      </c>
      <c r="M2543" s="140">
        <v>2</v>
      </c>
      <c r="P2543" s="4" t="s">
        <v>214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261</v>
      </c>
      <c r="B2544" s="114" t="str">
        <f>VLOOKUP(A2544,'Data pick slip'!B:F,5,FALSE)</f>
        <v>KHJ-MC100-00</v>
      </c>
      <c r="F2544" s="157" t="s">
        <v>227</v>
      </c>
      <c r="H2544" s="138">
        <v>978</v>
      </c>
      <c r="I2544" s="139" t="e">
        <f>VLOOKUP(H2544,Stock_list!A:R,18,FALSE)</f>
        <v>#N/A</v>
      </c>
      <c r="J2544" s="139" t="e">
        <f>VLOOKUP(H2544,Stock_list!A:S,17,FALSE)</f>
        <v>#N/A</v>
      </c>
      <c r="K2544" s="51" t="e">
        <f>VLOOKUP(H2544,Stock_list!A:T,16,FALSE)</f>
        <v>#N/A</v>
      </c>
      <c r="L2544" s="4">
        <v>44249</v>
      </c>
      <c r="M2544" s="132">
        <v>20</v>
      </c>
      <c r="P2544" s="4" t="e">
        <f>VLOOKUP(H2544,Stock_list!A:Y,25,FALSE)</f>
        <v>#N/A</v>
      </c>
      <c r="Q2544" s="143"/>
      <c r="T2544" s="144"/>
      <c r="U2544" s="145" t="e">
        <f>VLOOKUP(H2544,Stock_list!A:N,14,FALSE)</f>
        <v>#N/A</v>
      </c>
    </row>
    <row r="2545" spans="1:21" ht="16.5" customHeight="1">
      <c r="A2545" s="159" t="s">
        <v>264</v>
      </c>
      <c r="B2545" s="114" t="str">
        <f>VLOOKUP(A2545,'Data pick slip'!B:F,5,FALSE)</f>
        <v>KHJ-MC200-00</v>
      </c>
      <c r="F2545" s="157" t="s">
        <v>227</v>
      </c>
      <c r="H2545" s="138">
        <v>978</v>
      </c>
      <c r="I2545" s="139" t="e">
        <f>VLOOKUP(H2545,Stock_list!A:R,18,FALSE)</f>
        <v>#N/A</v>
      </c>
      <c r="J2545" s="139" t="e">
        <f>VLOOKUP(H2545,Stock_list!A:S,17,FALSE)</f>
        <v>#N/A</v>
      </c>
      <c r="K2545" s="51" t="e">
        <f>VLOOKUP(H2545,Stock_list!A:T,16,FALSE)</f>
        <v>#N/A</v>
      </c>
      <c r="L2545" s="4">
        <v>44249</v>
      </c>
      <c r="M2545" s="132">
        <v>3</v>
      </c>
      <c r="P2545" s="4" t="e">
        <f>VLOOKUP(H2545,Stock_list!A:Y,25,FALSE)</f>
        <v>#N/A</v>
      </c>
      <c r="Q2545" s="143"/>
      <c r="T2545" s="144"/>
      <c r="U2545" s="145" t="e">
        <f>VLOOKUP(H2545,Stock_list!A:N,14,FALSE)</f>
        <v>#N/A</v>
      </c>
    </row>
    <row r="2546" spans="1:21" ht="16.5" customHeight="1">
      <c r="A2546" s="159" t="s">
        <v>268</v>
      </c>
      <c r="B2546" s="114" t="str">
        <f>VLOOKUP(A2546,'Data pick slip'!B:F,5,FALSE)</f>
        <v>KHJ-MC700-00</v>
      </c>
      <c r="F2546" s="157" t="s">
        <v>290</v>
      </c>
      <c r="I2546" s="139" t="s">
        <v>611</v>
      </c>
      <c r="J2546" s="139" t="s">
        <v>899</v>
      </c>
      <c r="K2546" s="51" t="s">
        <v>225</v>
      </c>
      <c r="L2546" s="4">
        <v>44097</v>
      </c>
      <c r="M2546" s="140">
        <v>1</v>
      </c>
      <c r="P2546" s="4" t="s">
        <v>214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264</v>
      </c>
      <c r="B2547" s="114" t="str">
        <f>VLOOKUP(A2547,'Data pick slip'!B:F,5,FALSE)</f>
        <v>KHJ-MC200-00</v>
      </c>
      <c r="F2547" s="157" t="s">
        <v>290</v>
      </c>
      <c r="I2547" s="139" t="s">
        <v>611</v>
      </c>
      <c r="J2547" s="139" t="s">
        <v>900</v>
      </c>
      <c r="K2547" s="51" t="s">
        <v>225</v>
      </c>
      <c r="L2547" s="4">
        <v>44162</v>
      </c>
      <c r="M2547" s="140">
        <v>4</v>
      </c>
      <c r="P2547" s="4" t="s">
        <v>214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261</v>
      </c>
      <c r="B2548" s="114" t="str">
        <f>VLOOKUP(A2548,'Data pick slip'!B:F,5,FALSE)</f>
        <v>KHJ-MC100-00</v>
      </c>
      <c r="F2548" s="157" t="s">
        <v>290</v>
      </c>
      <c r="I2548" s="139" t="s">
        <v>611</v>
      </c>
      <c r="J2548" s="139" t="s">
        <v>901</v>
      </c>
      <c r="K2548" s="51" t="s">
        <v>225</v>
      </c>
      <c r="L2548" s="4">
        <v>44165</v>
      </c>
      <c r="M2548" s="140">
        <v>24</v>
      </c>
      <c r="P2548" s="4" t="s">
        <v>214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261</v>
      </c>
      <c r="B2549" s="114" t="str">
        <f>VLOOKUP(A2549,'Data pick slip'!B:F,5,FALSE)</f>
        <v>KHJ-MC100-00</v>
      </c>
      <c r="F2549" s="157" t="s">
        <v>379</v>
      </c>
      <c r="H2549" s="138">
        <v>979</v>
      </c>
      <c r="I2549" s="139" t="e">
        <f>VLOOKUP(H2549,Stock_list!A:R,18,FALSE)</f>
        <v>#N/A</v>
      </c>
      <c r="J2549" s="139" t="e">
        <f>VLOOKUP(H2549,Stock_list!A:S,17,FALSE)</f>
        <v>#N/A</v>
      </c>
      <c r="K2549" s="51" t="e">
        <f>VLOOKUP(H2549,Stock_list!A:T,16,FALSE)</f>
        <v>#N/A</v>
      </c>
      <c r="L2549" s="4">
        <v>44265</v>
      </c>
      <c r="M2549" s="143">
        <v>80</v>
      </c>
      <c r="P2549" s="4" t="e">
        <f>VLOOKUP(H2549,Stock_list!A:Y,25,FALSE)</f>
        <v>#N/A</v>
      </c>
      <c r="T2549" s="144"/>
      <c r="U2549" s="145" t="e">
        <f>VLOOKUP(H2549,Stock_list!A:N,14,FALSE)</f>
        <v>#N/A</v>
      </c>
    </row>
    <row r="2550" spans="1:21" ht="16.5" customHeight="1">
      <c r="A2550" s="159" t="s">
        <v>264</v>
      </c>
      <c r="B2550" s="114" t="str">
        <f>VLOOKUP(A2550,'Data pick slip'!B:F,5,FALSE)</f>
        <v>KHJ-MC200-00</v>
      </c>
      <c r="F2550" s="157" t="s">
        <v>379</v>
      </c>
      <c r="H2550" s="138">
        <v>979</v>
      </c>
      <c r="I2550" s="139" t="e">
        <f>VLOOKUP(H2550,Stock_list!A:R,18,FALSE)</f>
        <v>#N/A</v>
      </c>
      <c r="J2550" s="139" t="e">
        <f>VLOOKUP(H2550,Stock_list!A:S,17,FALSE)</f>
        <v>#N/A</v>
      </c>
      <c r="K2550" s="51" t="e">
        <f>VLOOKUP(H2550,Stock_list!A:T,16,FALSE)</f>
        <v>#N/A</v>
      </c>
      <c r="L2550" s="4">
        <v>44265</v>
      </c>
      <c r="M2550" s="143">
        <v>16</v>
      </c>
      <c r="P2550" s="4" t="e">
        <f>VLOOKUP(H2550,Stock_list!A:Y,25,FALSE)</f>
        <v>#N/A</v>
      </c>
      <c r="T2550" s="144"/>
      <c r="U2550" s="145" t="e">
        <f>VLOOKUP(H2550,Stock_list!A:N,14,FALSE)</f>
        <v>#N/A</v>
      </c>
    </row>
    <row r="2551" spans="1:21" ht="16.5" customHeight="1">
      <c r="A2551" s="159" t="s">
        <v>265</v>
      </c>
      <c r="B2551" s="114" t="str">
        <f>VLOOKUP(A2551,'Data pick slip'!B:F,5,FALSE)</f>
        <v>KHJ-MC400-00</v>
      </c>
      <c r="F2551" s="157" t="s">
        <v>379</v>
      </c>
      <c r="H2551" s="138">
        <v>979</v>
      </c>
      <c r="I2551" s="286" t="e">
        <f>VLOOKUP(H2551,Stock_list!A:R,18,FALSE)</f>
        <v>#N/A</v>
      </c>
      <c r="J2551" s="286" t="e">
        <f>VLOOKUP(H2551,Stock_list!A:S,17,FALSE)</f>
        <v>#N/A</v>
      </c>
      <c r="K2551" s="259" t="e">
        <f>VLOOKUP(H2551,Stock_list!A:T,16,FALSE)</f>
        <v>#N/A</v>
      </c>
      <c r="L2551" s="287">
        <v>44265</v>
      </c>
      <c r="M2551" s="289">
        <v>10</v>
      </c>
      <c r="P2551" s="4" t="e">
        <f>VLOOKUP(H2551,Stock_list!A:Y,25,FALSE)</f>
        <v>#N/A</v>
      </c>
      <c r="T2551" s="144"/>
      <c r="U2551" s="145" t="e">
        <f>VLOOKUP(H2551,Stock_list!A:N,14,FALSE)</f>
        <v>#N/A</v>
      </c>
    </row>
    <row r="2552" spans="1:21" ht="16.5" customHeight="1">
      <c r="A2552" s="159" t="s">
        <v>266</v>
      </c>
      <c r="B2552" s="281" t="str">
        <f>VLOOKUP(A2552,'Data pick slip'!B:F,5,FALSE)</f>
        <v>KHJ-MC500-00</v>
      </c>
      <c r="F2552" s="157" t="s">
        <v>270</v>
      </c>
      <c r="H2552" s="138">
        <v>979</v>
      </c>
      <c r="I2552" s="139" t="e">
        <f>VLOOKUP(H2552,Stock_list!A:R,18,FALSE)</f>
        <v>#N/A</v>
      </c>
      <c r="J2552" s="139" t="e">
        <f>VLOOKUP(H2552,Stock_list!A:S,17,FALSE)</f>
        <v>#N/A</v>
      </c>
      <c r="K2552" s="51" t="e">
        <f>VLOOKUP(H2552,Stock_list!A:T,16,FALSE)</f>
        <v>#N/A</v>
      </c>
      <c r="L2552" s="4">
        <v>44265</v>
      </c>
      <c r="M2552" s="143">
        <v>2</v>
      </c>
      <c r="P2552" s="4" t="e">
        <f>VLOOKUP(H2552,Stock_list!A:Y,25,FALSE)</f>
        <v>#N/A</v>
      </c>
      <c r="S2552" s="268" t="s">
        <v>295</v>
      </c>
      <c r="T2552" s="266" t="s">
        <v>902</v>
      </c>
      <c r="U2552" s="145" t="e">
        <f>VLOOKUP(H2552,Stock_list!A:N,14,FALSE)</f>
        <v>#N/A</v>
      </c>
    </row>
    <row r="2553" spans="1:21" ht="16.5" customHeight="1">
      <c r="A2553" s="159" t="s">
        <v>261</v>
      </c>
      <c r="B2553" s="114" t="str">
        <f>VLOOKUP(A2553,'Data pick slip'!B:F,5,FALSE)</f>
        <v>KHJ-MC100-00</v>
      </c>
      <c r="F2553" s="157" t="s">
        <v>379</v>
      </c>
      <c r="H2553" s="138">
        <v>982</v>
      </c>
      <c r="I2553" s="139" t="e">
        <f>VLOOKUP(H2553,Stock_list!A:R,18,FALSE)</f>
        <v>#N/A</v>
      </c>
      <c r="J2553" s="139" t="e">
        <f>VLOOKUP(H2553,Stock_list!A:S,17,FALSE)</f>
        <v>#N/A</v>
      </c>
      <c r="K2553" s="51" t="e">
        <f>VLOOKUP(H2553,Stock_list!A:T,16,FALSE)</f>
        <v>#N/A</v>
      </c>
      <c r="L2553" s="4">
        <v>44263</v>
      </c>
      <c r="M2553" s="143">
        <v>48</v>
      </c>
      <c r="P2553" s="4" t="e">
        <f>VLOOKUP(H2553,Stock_list!A:Y,25,FALSE)</f>
        <v>#N/A</v>
      </c>
      <c r="T2553" s="144"/>
      <c r="U2553" s="145" t="e">
        <f>VLOOKUP(H2553,Stock_list!A:N,14,FALSE)</f>
        <v>#N/A</v>
      </c>
    </row>
    <row r="2554" spans="1:21" ht="16.5" customHeight="1">
      <c r="A2554" s="159" t="s">
        <v>264</v>
      </c>
      <c r="B2554" s="114" t="str">
        <f>VLOOKUP(A2554,'Data pick slip'!B:F,5,FALSE)</f>
        <v>KHJ-MC200-00</v>
      </c>
      <c r="F2554" s="157" t="s">
        <v>379</v>
      </c>
      <c r="H2554" s="138">
        <v>982</v>
      </c>
      <c r="I2554" s="139" t="e">
        <f>VLOOKUP(H2554,Stock_list!A:R,18,FALSE)</f>
        <v>#N/A</v>
      </c>
      <c r="J2554" s="139" t="e">
        <f>VLOOKUP(H2554,Stock_list!A:S,17,FALSE)</f>
        <v>#N/A</v>
      </c>
      <c r="K2554" s="51" t="e">
        <f>VLOOKUP(H2554,Stock_list!A:T,16,FALSE)</f>
        <v>#N/A</v>
      </c>
      <c r="L2554" s="4">
        <v>44263</v>
      </c>
      <c r="M2554" s="143">
        <v>3</v>
      </c>
      <c r="P2554" s="4" t="e">
        <f>VLOOKUP(H2554,Stock_list!A:Y,25,FALSE)</f>
        <v>#N/A</v>
      </c>
      <c r="T2554" s="144"/>
      <c r="U2554" s="145" t="e">
        <f>VLOOKUP(H2554,Stock_list!A:N,14,FALSE)</f>
        <v>#N/A</v>
      </c>
    </row>
    <row r="2555" spans="1:21" ht="16.5" customHeight="1">
      <c r="A2555" s="159" t="s">
        <v>265</v>
      </c>
      <c r="B2555" s="114" t="str">
        <f>VLOOKUP(A2555,'Data pick slip'!B:F,5,FALSE)</f>
        <v>KHJ-MC400-00</v>
      </c>
      <c r="F2555" s="157" t="s">
        <v>379</v>
      </c>
      <c r="H2555" s="138">
        <v>982</v>
      </c>
      <c r="I2555" s="286" t="e">
        <f>VLOOKUP(H2555,Stock_list!A:R,18,FALSE)</f>
        <v>#N/A</v>
      </c>
      <c r="J2555" s="286" t="e">
        <f>VLOOKUP(H2555,Stock_list!A:S,17,FALSE)</f>
        <v>#N/A</v>
      </c>
      <c r="K2555" s="259" t="e">
        <f>VLOOKUP(H2555,Stock_list!A:T,16,FALSE)</f>
        <v>#N/A</v>
      </c>
      <c r="L2555" s="287">
        <v>44263</v>
      </c>
      <c r="M2555" s="289">
        <v>1</v>
      </c>
      <c r="P2555" s="4" t="e">
        <f>VLOOKUP(H2555,Stock_list!A:Y,25,FALSE)</f>
        <v>#N/A</v>
      </c>
      <c r="T2555" s="144"/>
      <c r="U2555" s="145" t="e">
        <f>VLOOKUP(H2555,Stock_list!A:N,14,FALSE)</f>
        <v>#N/A</v>
      </c>
    </row>
    <row r="2556" spans="1:21" ht="16.5" customHeight="1">
      <c r="A2556" s="159" t="s">
        <v>266</v>
      </c>
      <c r="B2556" s="114" t="str">
        <f>VLOOKUP(A2556,'Data pick slip'!B:F,5,FALSE)</f>
        <v>KHJ-MC500-00</v>
      </c>
      <c r="F2556" s="157" t="s">
        <v>379</v>
      </c>
      <c r="H2556" s="138">
        <v>982</v>
      </c>
      <c r="I2556" s="139" t="e">
        <f>VLOOKUP(H2556,Stock_list!A:R,18,FALSE)</f>
        <v>#N/A</v>
      </c>
      <c r="J2556" s="139" t="e">
        <f>VLOOKUP(H2556,Stock_list!A:S,17,FALSE)</f>
        <v>#N/A</v>
      </c>
      <c r="K2556" s="51" t="e">
        <f>VLOOKUP(H2556,Stock_list!A:T,16,FALSE)</f>
        <v>#N/A</v>
      </c>
      <c r="L2556" s="4">
        <v>44263</v>
      </c>
      <c r="M2556" s="143">
        <v>1</v>
      </c>
      <c r="P2556" s="4" t="e">
        <f>VLOOKUP(H2556,Stock_list!A:Y,25,FALSE)</f>
        <v>#N/A</v>
      </c>
      <c r="T2556" s="144"/>
      <c r="U2556" s="145" t="e">
        <f>VLOOKUP(H2556,Stock_list!A:N,14,FALSE)</f>
        <v>#N/A</v>
      </c>
    </row>
    <row r="2557" spans="1:21" ht="16.5" customHeight="1">
      <c r="A2557" s="159" t="s">
        <v>267</v>
      </c>
      <c r="B2557" s="281" t="str">
        <f>VLOOKUP(A2557,'Data pick slip'!B:F,5,FALSE)</f>
        <v>KHJ-MC600-00</v>
      </c>
      <c r="F2557" s="157" t="s">
        <v>270</v>
      </c>
      <c r="H2557" s="138">
        <v>982</v>
      </c>
      <c r="I2557" s="139" t="e">
        <f>VLOOKUP(H2557,Stock_list!A:R,18,FALSE)</f>
        <v>#N/A</v>
      </c>
      <c r="J2557" s="139" t="e">
        <f>VLOOKUP(H2557,Stock_list!A:S,17,FALSE)</f>
        <v>#N/A</v>
      </c>
      <c r="K2557" s="51" t="e">
        <f>VLOOKUP(H2557,Stock_list!A:T,16,FALSE)</f>
        <v>#N/A</v>
      </c>
      <c r="L2557" s="4">
        <v>44263</v>
      </c>
      <c r="M2557" s="143">
        <v>1</v>
      </c>
      <c r="P2557" s="4" t="e">
        <f>VLOOKUP(H2557,Stock_list!A:Y,25,FALSE)</f>
        <v>#N/A</v>
      </c>
      <c r="S2557" s="268" t="s">
        <v>295</v>
      </c>
      <c r="T2557" s="266" t="s">
        <v>902</v>
      </c>
      <c r="U2557" s="145" t="e">
        <f>VLOOKUP(H2557,Stock_list!A:N,14,FALSE)</f>
        <v>#N/A</v>
      </c>
    </row>
    <row r="2558" spans="1:21" ht="16.5" customHeight="1">
      <c r="A2558" s="159" t="s">
        <v>261</v>
      </c>
      <c r="B2558" s="114" t="str">
        <f>VLOOKUP(A2558,'Data pick slip'!B:F,5,FALSE)</f>
        <v>KHJ-MC100-00</v>
      </c>
      <c r="F2558" s="157" t="s">
        <v>379</v>
      </c>
      <c r="H2558" s="138">
        <v>983</v>
      </c>
      <c r="I2558" s="139" t="e">
        <f>VLOOKUP(H2558,Stock_list!A:R,18,FALSE)</f>
        <v>#N/A</v>
      </c>
      <c r="J2558" s="139" t="e">
        <f>VLOOKUP(H2558,Stock_list!A:S,17,FALSE)</f>
        <v>#N/A</v>
      </c>
      <c r="K2558" s="51" t="e">
        <f>VLOOKUP(H2558,Stock_list!A:T,16,FALSE)</f>
        <v>#N/A</v>
      </c>
      <c r="L2558" s="4">
        <v>44256</v>
      </c>
      <c r="M2558" s="143">
        <v>10</v>
      </c>
      <c r="P2558" s="4" t="e">
        <f>VLOOKUP(H2558,Stock_list!A:Y,25,FALSE)</f>
        <v>#N/A</v>
      </c>
      <c r="T2558" s="144"/>
      <c r="U2558" s="145" t="e">
        <f>VLOOKUP(H2558,Stock_list!A:N,14,FALSE)</f>
        <v>#N/A</v>
      </c>
    </row>
    <row r="2559" spans="1:21" ht="16.5" customHeight="1">
      <c r="A2559" s="159" t="s">
        <v>264</v>
      </c>
      <c r="B2559" s="114" t="str">
        <f>VLOOKUP(A2559,'Data pick slip'!B:F,5,FALSE)</f>
        <v>KHJ-MC200-00</v>
      </c>
      <c r="F2559" s="157" t="s">
        <v>379</v>
      </c>
      <c r="H2559" s="138">
        <v>983</v>
      </c>
      <c r="I2559" s="139" t="e">
        <f>VLOOKUP(H2559,Stock_list!A:R,18,FALSE)</f>
        <v>#N/A</v>
      </c>
      <c r="J2559" s="139" t="e">
        <f>VLOOKUP(H2559,Stock_list!A:S,17,FALSE)</f>
        <v>#N/A</v>
      </c>
      <c r="K2559" s="51" t="e">
        <f>VLOOKUP(H2559,Stock_list!A:T,16,FALSE)</f>
        <v>#N/A</v>
      </c>
      <c r="L2559" s="4">
        <v>44256</v>
      </c>
      <c r="M2559" s="143">
        <v>5</v>
      </c>
      <c r="P2559" s="4" t="e">
        <f>VLOOKUP(H2559,Stock_list!A:Y,25,FALSE)</f>
        <v>#N/A</v>
      </c>
      <c r="T2559" s="144"/>
      <c r="U2559" s="145" t="e">
        <f>VLOOKUP(H2559,Stock_list!A:N,14,FALSE)</f>
        <v>#N/A</v>
      </c>
    </row>
    <row r="2560" spans="1:21" ht="16.5" customHeight="1">
      <c r="A2560" s="159" t="s">
        <v>265</v>
      </c>
      <c r="B2560" s="114" t="str">
        <f>VLOOKUP(A2560,'Data pick slip'!B:F,5,FALSE)</f>
        <v>KHJ-MC400-00</v>
      </c>
      <c r="F2560" s="157" t="s">
        <v>379</v>
      </c>
      <c r="H2560" s="138">
        <v>983</v>
      </c>
      <c r="I2560" s="286" t="e">
        <f>VLOOKUP(H2560,Stock_list!A:R,18,FALSE)</f>
        <v>#N/A</v>
      </c>
      <c r="J2560" s="286" t="e">
        <f>VLOOKUP(H2560,Stock_list!A:S,17,FALSE)</f>
        <v>#N/A</v>
      </c>
      <c r="K2560" s="259" t="e">
        <f>VLOOKUP(H2560,Stock_list!A:T,16,FALSE)</f>
        <v>#N/A</v>
      </c>
      <c r="L2560" s="287">
        <v>44256</v>
      </c>
      <c r="M2560" s="289">
        <v>1</v>
      </c>
      <c r="P2560" s="4" t="e">
        <f>VLOOKUP(H2560,Stock_list!A:Y,25,FALSE)</f>
        <v>#N/A</v>
      </c>
      <c r="T2560" s="144"/>
      <c r="U2560" s="145" t="e">
        <f>VLOOKUP(H2560,Stock_list!A:N,14,FALSE)</f>
        <v>#N/A</v>
      </c>
    </row>
    <row r="2561" spans="1:21" ht="16.5" customHeight="1">
      <c r="A2561" s="159" t="s">
        <v>266</v>
      </c>
      <c r="B2561" s="114" t="str">
        <f>VLOOKUP(A2561,'Data pick slip'!B:F,5,FALSE)</f>
        <v>KHJ-MC500-00</v>
      </c>
      <c r="F2561" s="157" t="s">
        <v>379</v>
      </c>
      <c r="H2561" s="138">
        <v>983</v>
      </c>
      <c r="I2561" s="139" t="e">
        <f>VLOOKUP(H2561,Stock_list!A:R,18,FALSE)</f>
        <v>#N/A</v>
      </c>
      <c r="J2561" s="139" t="e">
        <f>VLOOKUP(H2561,Stock_list!A:S,17,FALSE)</f>
        <v>#N/A</v>
      </c>
      <c r="K2561" s="51" t="e">
        <f>VLOOKUP(H2561,Stock_list!A:T,16,FALSE)</f>
        <v>#N/A</v>
      </c>
      <c r="L2561" s="4">
        <v>44256</v>
      </c>
      <c r="M2561" s="143">
        <v>1</v>
      </c>
      <c r="P2561" s="4" t="e">
        <f>VLOOKUP(H2561,Stock_list!A:Y,25,FALSE)</f>
        <v>#N/A</v>
      </c>
      <c r="T2561" s="144"/>
      <c r="U2561" s="145" t="e">
        <f>VLOOKUP(H2561,Stock_list!A:N,14,FALSE)</f>
        <v>#N/A</v>
      </c>
    </row>
    <row r="2562" spans="1:21" ht="16.5" customHeight="1">
      <c r="A2562" s="159" t="s">
        <v>267</v>
      </c>
      <c r="B2562" s="114" t="str">
        <f>VLOOKUP(A2562,'Data pick slip'!B:F,5,FALSE)</f>
        <v>KHJ-MC600-00</v>
      </c>
      <c r="F2562" s="157" t="s">
        <v>379</v>
      </c>
      <c r="H2562" s="138">
        <v>983</v>
      </c>
      <c r="I2562" s="139" t="e">
        <f>VLOOKUP(H2562,Stock_list!A:R,18,FALSE)</f>
        <v>#N/A</v>
      </c>
      <c r="J2562" s="139" t="e">
        <f>VLOOKUP(H2562,Stock_list!A:S,17,FALSE)</f>
        <v>#N/A</v>
      </c>
      <c r="K2562" s="51" t="e">
        <f>VLOOKUP(H2562,Stock_list!A:T,16,FALSE)</f>
        <v>#N/A</v>
      </c>
      <c r="L2562" s="4">
        <v>44256</v>
      </c>
      <c r="M2562" s="143">
        <v>1</v>
      </c>
      <c r="P2562" s="4" t="e">
        <f>VLOOKUP(H2562,Stock_list!A:Y,25,FALSE)</f>
        <v>#N/A</v>
      </c>
      <c r="T2562" s="144"/>
      <c r="U2562" s="145" t="e">
        <f>VLOOKUP(H2562,Stock_list!A:N,14,FALSE)</f>
        <v>#N/A</v>
      </c>
    </row>
    <row r="2563" spans="1:21" ht="16.5" customHeight="1">
      <c r="A2563" s="159" t="s">
        <v>268</v>
      </c>
      <c r="B2563" s="281" t="str">
        <f>VLOOKUP(A2563,'Data pick slip'!B:F,5,FALSE)</f>
        <v>KHJ-MC700-00</v>
      </c>
      <c r="F2563" s="157" t="s">
        <v>270</v>
      </c>
      <c r="H2563" s="138">
        <v>983</v>
      </c>
      <c r="I2563" s="139" t="e">
        <f>VLOOKUP(H2563,Stock_list!A:R,18,FALSE)</f>
        <v>#N/A</v>
      </c>
      <c r="J2563" s="139" t="e">
        <f>VLOOKUP(H2563,Stock_list!A:S,17,FALSE)</f>
        <v>#N/A</v>
      </c>
      <c r="K2563" s="51" t="e">
        <f>VLOOKUP(H2563,Stock_list!A:T,16,FALSE)</f>
        <v>#N/A</v>
      </c>
      <c r="L2563" s="4">
        <v>44334</v>
      </c>
      <c r="M2563" s="140">
        <v>1</v>
      </c>
      <c r="N2563" s="143"/>
      <c r="P2563" s="4" t="e">
        <f>VLOOKUP(H2563,Stock_list!A:Y,25,FALSE)</f>
        <v>#N/A</v>
      </c>
      <c r="S2563" s="268" t="s">
        <v>295</v>
      </c>
      <c r="T2563" s="266" t="s">
        <v>902</v>
      </c>
      <c r="U2563" s="145" t="e">
        <f>VLOOKUP(H2563,Stock_list!A:N,14,FALSE)</f>
        <v>#N/A</v>
      </c>
    </row>
    <row r="2564" spans="1:21" ht="16.5" customHeight="1">
      <c r="A2564" s="159" t="s">
        <v>261</v>
      </c>
      <c r="B2564" s="114" t="str">
        <f>VLOOKUP(A2564,'Data pick slip'!B:F,5,FALSE)</f>
        <v>KHJ-MC100-00</v>
      </c>
      <c r="F2564" s="157" t="s">
        <v>379</v>
      </c>
      <c r="H2564" s="138">
        <v>985</v>
      </c>
      <c r="I2564" s="139" t="e">
        <f>VLOOKUP(H2564,Stock_list!A:R,18,FALSE)</f>
        <v>#N/A</v>
      </c>
      <c r="J2564" s="139" t="e">
        <f>VLOOKUP(H2564,Stock_list!A:S,17,FALSE)</f>
        <v>#N/A</v>
      </c>
      <c r="K2564" s="51" t="e">
        <f>VLOOKUP(H2564,Stock_list!A:T,16,FALSE)</f>
        <v>#N/A</v>
      </c>
      <c r="L2564" s="4">
        <v>44267</v>
      </c>
      <c r="M2564" s="143">
        <v>5</v>
      </c>
      <c r="P2564" s="4" t="e">
        <f>VLOOKUP(H2564,Stock_list!A:Y,25,FALSE)</f>
        <v>#N/A</v>
      </c>
      <c r="T2564" s="144"/>
      <c r="U2564" s="145" t="e">
        <f>VLOOKUP(H2564,Stock_list!A:N,14,FALSE)</f>
        <v>#N/A</v>
      </c>
    </row>
    <row r="2565" spans="1:21" ht="16.5" customHeight="1">
      <c r="A2565" s="159" t="s">
        <v>264</v>
      </c>
      <c r="B2565" s="114" t="str">
        <f>VLOOKUP(A2565,'Data pick slip'!B:F,5,FALSE)</f>
        <v>KHJ-MC200-00</v>
      </c>
      <c r="F2565" s="157" t="s">
        <v>379</v>
      </c>
      <c r="H2565" s="138">
        <v>985</v>
      </c>
      <c r="I2565" s="139" t="e">
        <f>VLOOKUP(H2565,Stock_list!A:R,18,FALSE)</f>
        <v>#N/A</v>
      </c>
      <c r="J2565" s="139" t="e">
        <f>VLOOKUP(H2565,Stock_list!A:S,17,FALSE)</f>
        <v>#N/A</v>
      </c>
      <c r="K2565" s="51" t="e">
        <f>VLOOKUP(H2565,Stock_list!A:T,16,FALSE)</f>
        <v>#N/A</v>
      </c>
      <c r="L2565" s="4">
        <v>44267</v>
      </c>
      <c r="M2565" s="143">
        <v>6</v>
      </c>
      <c r="P2565" s="4" t="e">
        <f>VLOOKUP(H2565,Stock_list!A:Y,25,FALSE)</f>
        <v>#N/A</v>
      </c>
      <c r="T2565" s="144"/>
      <c r="U2565" s="145" t="e">
        <f>VLOOKUP(H2565,Stock_list!A:N,14,FALSE)</f>
        <v>#N/A</v>
      </c>
    </row>
    <row r="2566" spans="1:21" ht="16.5" customHeight="1">
      <c r="A2566" s="159" t="s">
        <v>265</v>
      </c>
      <c r="B2566" s="114" t="str">
        <f>VLOOKUP(A2566,'Data pick slip'!B:F,5,FALSE)</f>
        <v>KHJ-MC400-00</v>
      </c>
      <c r="F2566" s="157" t="s">
        <v>227</v>
      </c>
      <c r="H2566" s="138">
        <v>985</v>
      </c>
      <c r="I2566" s="286" t="e">
        <f>VLOOKUP(H2566,Stock_list!A:R,18,FALSE)</f>
        <v>#N/A</v>
      </c>
      <c r="J2566" s="286" t="e">
        <f>VLOOKUP(H2566,Stock_list!A:S,17,FALSE)</f>
        <v>#N/A</v>
      </c>
      <c r="K2566" s="259" t="e">
        <f>VLOOKUP(H2566,Stock_list!A:T,16,FALSE)</f>
        <v>#N/A</v>
      </c>
      <c r="L2566" s="287">
        <v>44267</v>
      </c>
      <c r="M2566" s="289">
        <v>2</v>
      </c>
      <c r="P2566" s="4" t="e">
        <f>VLOOKUP(H2566,Stock_list!A:Y,25,FALSE)</f>
        <v>#N/A</v>
      </c>
      <c r="T2566" s="144"/>
      <c r="U2566" s="145" t="e">
        <f>VLOOKUP(H2566,Stock_list!A:N,14,FALSE)</f>
        <v>#N/A</v>
      </c>
    </row>
    <row r="2567" spans="1:21" ht="16.5" customHeight="1">
      <c r="A2567" s="159" t="s">
        <v>272</v>
      </c>
      <c r="B2567" s="114" t="str">
        <f>VLOOKUP(A2567,'Data pick slip'!B:F,5,FALSE)</f>
        <v>KLJ-MC100-00</v>
      </c>
      <c r="F2567" s="157" t="s">
        <v>379</v>
      </c>
      <c r="H2567" s="138">
        <v>986</v>
      </c>
      <c r="I2567" s="139" t="e">
        <f>VLOOKUP(H2567,Stock_list!A:R,18,FALSE)</f>
        <v>#N/A</v>
      </c>
      <c r="J2567" s="139" t="e">
        <f>VLOOKUP(H2567,Stock_list!A:S,17,FALSE)</f>
        <v>#N/A</v>
      </c>
      <c r="K2567" s="51" t="e">
        <f>VLOOKUP(H2567,Stock_list!A:T,16,FALSE)</f>
        <v>#N/A</v>
      </c>
      <c r="L2567" s="4">
        <v>44156</v>
      </c>
      <c r="M2567" s="143">
        <v>26</v>
      </c>
      <c r="P2567" s="4" t="e">
        <f>VLOOKUP(H2567,Stock_list!A:Y,25,FALSE)</f>
        <v>#N/A</v>
      </c>
      <c r="Q2567" s="133"/>
      <c r="T2567" s="144"/>
      <c r="U2567" s="145" t="e">
        <f>VLOOKUP(H2567,Stock_list!A:N,14,FALSE)</f>
        <v>#N/A</v>
      </c>
    </row>
    <row r="2568" spans="1:21" ht="16.5" customHeight="1">
      <c r="A2568" s="159" t="s">
        <v>273</v>
      </c>
      <c r="B2568" s="114" t="str">
        <f>VLOOKUP(A2568,'Data pick slip'!B:F,5,FALSE)</f>
        <v>KLJ-MC200-00</v>
      </c>
      <c r="F2568" s="157" t="s">
        <v>379</v>
      </c>
      <c r="H2568" s="138">
        <v>986</v>
      </c>
      <c r="I2568" s="139" t="e">
        <f>VLOOKUP(H2568,Stock_list!A:R,18,FALSE)</f>
        <v>#N/A</v>
      </c>
      <c r="J2568" s="139" t="e">
        <f>VLOOKUP(H2568,Stock_list!A:S,17,FALSE)</f>
        <v>#N/A</v>
      </c>
      <c r="K2568" s="51" t="e">
        <f>VLOOKUP(H2568,Stock_list!A:T,16,FALSE)</f>
        <v>#N/A</v>
      </c>
      <c r="L2568" s="4">
        <v>44156</v>
      </c>
      <c r="M2568" s="143">
        <v>4</v>
      </c>
      <c r="P2568" s="4" t="e">
        <f>VLOOKUP(H2568,Stock_list!A:Y,25,FALSE)</f>
        <v>#N/A</v>
      </c>
      <c r="T2568" s="144"/>
      <c r="U2568" s="145" t="e">
        <f>VLOOKUP(H2568,Stock_list!A:N,14,FALSE)</f>
        <v>#N/A</v>
      </c>
    </row>
    <row r="2569" spans="1:21" ht="16.5" customHeight="1">
      <c r="A2569" s="159" t="s">
        <v>274</v>
      </c>
      <c r="B2569" s="114" t="str">
        <f>VLOOKUP(A2569,'Data pick slip'!B:F,5,FALSE)</f>
        <v>KLJ-MC400-00</v>
      </c>
      <c r="F2569" s="157" t="s">
        <v>379</v>
      </c>
      <c r="H2569" s="138">
        <v>986</v>
      </c>
      <c r="I2569" s="139" t="e">
        <f>VLOOKUP(H2569,Stock_list!A:R,18,FALSE)</f>
        <v>#N/A</v>
      </c>
      <c r="J2569" s="139" t="e">
        <f>VLOOKUP(H2569,Stock_list!A:S,17,FALSE)</f>
        <v>#N/A</v>
      </c>
      <c r="K2569" s="51" t="e">
        <f>VLOOKUP(H2569,Stock_list!A:T,16,FALSE)</f>
        <v>#N/A</v>
      </c>
      <c r="L2569" s="4">
        <v>44156</v>
      </c>
      <c r="M2569" s="143">
        <v>1</v>
      </c>
      <c r="P2569" s="4" t="e">
        <f>VLOOKUP(H2569,Stock_list!A:Y,25,FALSE)</f>
        <v>#N/A</v>
      </c>
      <c r="Q2569" s="133"/>
      <c r="T2569" s="144"/>
      <c r="U2569" s="145" t="e">
        <f>VLOOKUP(H2569,Stock_list!A:N,14,FALSE)</f>
        <v>#N/A</v>
      </c>
    </row>
    <row r="2570" spans="1:21" ht="16.5" customHeight="1">
      <c r="A2570" s="159" t="s">
        <v>275</v>
      </c>
      <c r="B2570" s="114" t="str">
        <f>VLOOKUP(A2570,'Data pick slip'!B:F,5,FALSE)</f>
        <v>KLJ-MC500-00</v>
      </c>
      <c r="F2570" s="157" t="s">
        <v>379</v>
      </c>
      <c r="H2570" s="138">
        <v>986</v>
      </c>
      <c r="I2570" s="139" t="e">
        <f>VLOOKUP(H2570,Stock_list!A:R,18,FALSE)</f>
        <v>#N/A</v>
      </c>
      <c r="J2570" s="139" t="e">
        <f>VLOOKUP(H2570,Stock_list!A:S,17,FALSE)</f>
        <v>#N/A</v>
      </c>
      <c r="K2570" s="51" t="e">
        <f>VLOOKUP(H2570,Stock_list!A:T,16,FALSE)</f>
        <v>#N/A</v>
      </c>
      <c r="L2570" s="4">
        <v>44156</v>
      </c>
      <c r="M2570" s="143">
        <v>1</v>
      </c>
      <c r="P2570" s="4" t="e">
        <f>VLOOKUP(H2570,Stock_list!A:Y,25,FALSE)</f>
        <v>#N/A</v>
      </c>
      <c r="Q2570" s="133"/>
      <c r="T2570" s="144"/>
      <c r="U2570" s="145" t="e">
        <f>VLOOKUP(H2570,Stock_list!A:N,14,FALSE)</f>
        <v>#N/A</v>
      </c>
    </row>
    <row r="2571" spans="1:21" ht="16.5" customHeight="1">
      <c r="A2571" s="159" t="s">
        <v>261</v>
      </c>
      <c r="B2571" s="114" t="str">
        <f>VLOOKUP(A2571,'Data pick slip'!B:F,5,FALSE)</f>
        <v>KHJ-MC100-00</v>
      </c>
      <c r="F2571" s="157" t="s">
        <v>270</v>
      </c>
      <c r="H2571" s="138">
        <v>986</v>
      </c>
      <c r="I2571" s="139" t="e">
        <f>VLOOKUP(H2571,Stock_list!A:R,18,FALSE)</f>
        <v>#N/A</v>
      </c>
      <c r="J2571" s="139" t="e">
        <f>VLOOKUP(H2571,Stock_list!A:S,17,FALSE)</f>
        <v>#N/A</v>
      </c>
      <c r="K2571" s="51" t="e">
        <f>VLOOKUP(H2571,Stock_list!A:T,16,FALSE)</f>
        <v>#N/A</v>
      </c>
      <c r="L2571" s="4">
        <v>44287</v>
      </c>
      <c r="M2571" s="143">
        <v>2</v>
      </c>
      <c r="P2571" s="4" t="e">
        <f>VLOOKUP(H2571,Stock_list!A:Y,25,FALSE)</f>
        <v>#N/A</v>
      </c>
      <c r="Q2571" s="133"/>
      <c r="S2571" s="268" t="s">
        <v>295</v>
      </c>
      <c r="T2571" s="285" t="s">
        <v>903</v>
      </c>
      <c r="U2571" s="145" t="e">
        <f>VLOOKUP(H2571,Stock_list!A:N,14,FALSE)</f>
        <v>#N/A</v>
      </c>
    </row>
    <row r="2572" spans="1:21" ht="16.5" customHeight="1">
      <c r="A2572" s="159" t="s">
        <v>272</v>
      </c>
      <c r="B2572" s="114" t="str">
        <f>VLOOKUP(A2572,'Data pick slip'!B:F,5,FALSE)</f>
        <v>KLJ-MC100-00</v>
      </c>
      <c r="F2572" s="157" t="s">
        <v>379</v>
      </c>
      <c r="H2572" s="138">
        <v>986</v>
      </c>
      <c r="I2572" s="139" t="e">
        <f>VLOOKUP(H2572,Stock_list!A:R,18,FALSE)</f>
        <v>#N/A</v>
      </c>
      <c r="J2572" s="139" t="e">
        <f>VLOOKUP(H2572,Stock_list!A:S,17,FALSE)</f>
        <v>#N/A</v>
      </c>
      <c r="K2572" s="51" t="e">
        <f>VLOOKUP(H2572,Stock_list!A:T,16,FALSE)</f>
        <v>#N/A</v>
      </c>
      <c r="L2572" s="4">
        <v>44287</v>
      </c>
      <c r="M2572" s="143">
        <v>53</v>
      </c>
      <c r="P2572" s="4" t="e">
        <f>VLOOKUP(H2572,Stock_list!A:Y,25,FALSE)</f>
        <v>#N/A</v>
      </c>
      <c r="Q2572" s="133"/>
      <c r="T2572" s="144"/>
      <c r="U2572" s="145" t="e">
        <f>VLOOKUP(H2572,Stock_list!A:N,14,FALSE)</f>
        <v>#N/A</v>
      </c>
    </row>
    <row r="2573" spans="1:21" ht="16.5" customHeight="1">
      <c r="A2573" s="159" t="s">
        <v>273</v>
      </c>
      <c r="B2573" s="114" t="str">
        <f>VLOOKUP(A2573,'Data pick slip'!B:F,5,FALSE)</f>
        <v>KLJ-MC200-00</v>
      </c>
      <c r="F2573" s="157" t="s">
        <v>379</v>
      </c>
      <c r="H2573" s="138">
        <v>986</v>
      </c>
      <c r="I2573" s="139" t="e">
        <f>VLOOKUP(H2573,Stock_list!A:R,18,FALSE)</f>
        <v>#N/A</v>
      </c>
      <c r="J2573" s="139" t="e">
        <f>VLOOKUP(H2573,Stock_list!A:S,17,FALSE)</f>
        <v>#N/A</v>
      </c>
      <c r="K2573" s="51" t="e">
        <f>VLOOKUP(H2573,Stock_list!A:T,16,FALSE)</f>
        <v>#N/A</v>
      </c>
      <c r="L2573" s="4">
        <v>44287</v>
      </c>
      <c r="M2573" s="143">
        <f>12-4</f>
        <v>8</v>
      </c>
      <c r="P2573" s="4" t="e">
        <f>VLOOKUP(H2573,Stock_list!A:Y,25,FALSE)</f>
        <v>#N/A</v>
      </c>
      <c r="T2573" s="144"/>
      <c r="U2573" s="145" t="e">
        <f>VLOOKUP(H2573,Stock_list!A:N,14,FALSE)</f>
        <v>#N/A</v>
      </c>
    </row>
    <row r="2574" spans="1:21" ht="16.5" customHeight="1">
      <c r="A2574" s="159" t="s">
        <v>274</v>
      </c>
      <c r="B2574" s="114" t="str">
        <f>VLOOKUP(A2574,'Data pick slip'!B:F,5,FALSE)</f>
        <v>KLJ-MC400-00</v>
      </c>
      <c r="F2574" s="157" t="s">
        <v>379</v>
      </c>
      <c r="H2574" s="138">
        <v>986</v>
      </c>
      <c r="I2574" s="139" t="e">
        <f>VLOOKUP(H2574,Stock_list!A:R,18,FALSE)</f>
        <v>#N/A</v>
      </c>
      <c r="J2574" s="139" t="e">
        <f>VLOOKUP(H2574,Stock_list!A:S,17,FALSE)</f>
        <v>#N/A</v>
      </c>
      <c r="K2574" s="51" t="e">
        <f>VLOOKUP(H2574,Stock_list!A:T,16,FALSE)</f>
        <v>#N/A</v>
      </c>
      <c r="L2574" s="4">
        <v>44287</v>
      </c>
      <c r="M2574" s="143">
        <f>3-1</f>
        <v>2</v>
      </c>
      <c r="P2574" s="4" t="e">
        <f>VLOOKUP(H2574,Stock_list!A:Y,25,FALSE)</f>
        <v>#N/A</v>
      </c>
      <c r="Q2574" s="133"/>
      <c r="T2574" s="144"/>
      <c r="U2574" s="145" t="e">
        <f>VLOOKUP(H2574,Stock_list!A:N,14,FALSE)</f>
        <v>#N/A</v>
      </c>
    </row>
    <row r="2575" spans="1:21" ht="16.5" customHeight="1">
      <c r="A2575" s="159" t="s">
        <v>275</v>
      </c>
      <c r="B2575" s="114" t="str">
        <f>VLOOKUP(A2575,'Data pick slip'!B:F,5,FALSE)</f>
        <v>KLJ-MC500-00</v>
      </c>
      <c r="F2575" s="157" t="s">
        <v>379</v>
      </c>
      <c r="H2575" s="138">
        <v>986</v>
      </c>
      <c r="I2575" s="139" t="e">
        <f>VLOOKUP(H2575,Stock_list!A:R,18,FALSE)</f>
        <v>#N/A</v>
      </c>
      <c r="J2575" s="139" t="e">
        <f>VLOOKUP(H2575,Stock_list!A:S,17,FALSE)</f>
        <v>#N/A</v>
      </c>
      <c r="K2575" s="51" t="e">
        <f>VLOOKUP(H2575,Stock_list!A:T,16,FALSE)</f>
        <v>#N/A</v>
      </c>
      <c r="L2575" s="4">
        <v>44287</v>
      </c>
      <c r="M2575" s="143">
        <f>2-1</f>
        <v>1</v>
      </c>
      <c r="P2575" s="4" t="e">
        <f>VLOOKUP(H2575,Stock_list!A:Y,25,FALSE)</f>
        <v>#N/A</v>
      </c>
      <c r="Q2575" s="133"/>
      <c r="T2575" s="144"/>
      <c r="U2575" s="145" t="e">
        <f>VLOOKUP(H2575,Stock_list!A:N,14,FALSE)</f>
        <v>#N/A</v>
      </c>
    </row>
    <row r="2576" spans="1:21" ht="16.5" customHeight="1">
      <c r="A2576" s="159" t="s">
        <v>276</v>
      </c>
      <c r="B2576" s="114" t="str">
        <f>VLOOKUP(A2576,'Data pick slip'!B:F,5,FALSE)</f>
        <v>KLJ-MC600-00</v>
      </c>
      <c r="F2576" s="157" t="s">
        <v>379</v>
      </c>
      <c r="H2576" s="138">
        <v>986</v>
      </c>
      <c r="I2576" s="139" t="e">
        <f>VLOOKUP(H2576,Stock_list!A:R,18,FALSE)</f>
        <v>#N/A</v>
      </c>
      <c r="J2576" s="139" t="e">
        <f>VLOOKUP(H2576,Stock_list!A:S,17,FALSE)</f>
        <v>#N/A</v>
      </c>
      <c r="K2576" s="51" t="e">
        <f>VLOOKUP(H2576,Stock_list!A:T,16,FALSE)</f>
        <v>#N/A</v>
      </c>
      <c r="L2576" s="4">
        <v>44287</v>
      </c>
      <c r="M2576" s="143">
        <v>1</v>
      </c>
      <c r="P2576" s="4" t="e">
        <f>VLOOKUP(H2576,Stock_list!A:Y,25,FALSE)</f>
        <v>#N/A</v>
      </c>
      <c r="Q2576" s="133"/>
      <c r="T2576" s="144"/>
      <c r="U2576" s="145" t="e">
        <f>VLOOKUP(H2576,Stock_list!A:N,14,FALSE)</f>
        <v>#N/A</v>
      </c>
    </row>
    <row r="2577" spans="1:21" ht="16.5" customHeight="1">
      <c r="A2577" s="159" t="s">
        <v>268</v>
      </c>
      <c r="B2577" s="114" t="str">
        <f>VLOOKUP(A2577,'Data pick slip'!B:F,5,FALSE)</f>
        <v>KHJ-MC700-00</v>
      </c>
      <c r="F2577" s="157" t="s">
        <v>290</v>
      </c>
      <c r="I2577" s="139" t="s">
        <v>617</v>
      </c>
      <c r="J2577" s="139" t="s">
        <v>904</v>
      </c>
      <c r="K2577" s="51" t="s">
        <v>225</v>
      </c>
      <c r="L2577" s="4">
        <v>44167</v>
      </c>
      <c r="M2577" s="140">
        <v>1</v>
      </c>
      <c r="P2577" s="4" t="s">
        <v>214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265</v>
      </c>
      <c r="B2578" s="114" t="str">
        <f>VLOOKUP(A2578,'Data pick slip'!B:F,5,FALSE)</f>
        <v>KHJ-MC400-00</v>
      </c>
      <c r="F2578" s="157" t="s">
        <v>290</v>
      </c>
      <c r="I2578" s="139" t="s">
        <v>611</v>
      </c>
      <c r="J2578" s="139" t="s">
        <v>905</v>
      </c>
      <c r="K2578" s="51" t="s">
        <v>225</v>
      </c>
      <c r="L2578" s="4">
        <v>44168</v>
      </c>
      <c r="M2578" s="140">
        <v>1</v>
      </c>
      <c r="P2578" s="4" t="s">
        <v>214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261</v>
      </c>
      <c r="B2579" s="114" t="str">
        <f>VLOOKUP(A2579,'Data pick slip'!B:F,5,FALSE)</f>
        <v>KHJ-MC100-00</v>
      </c>
      <c r="F2579" s="157" t="s">
        <v>379</v>
      </c>
      <c r="H2579" s="138">
        <v>989</v>
      </c>
      <c r="I2579" s="139" t="e">
        <f>VLOOKUP(H2579,Stock_list!A:R,18,FALSE)</f>
        <v>#N/A</v>
      </c>
      <c r="J2579" s="139" t="e">
        <f>VLOOKUP(H2579,Stock_list!A:S,17,FALSE)</f>
        <v>#N/A</v>
      </c>
      <c r="K2579" s="51" t="e">
        <f>VLOOKUP(H2579,Stock_list!A:T,16,FALSE)</f>
        <v>#N/A</v>
      </c>
      <c r="L2579" s="4">
        <v>44259</v>
      </c>
      <c r="M2579" s="143">
        <v>15</v>
      </c>
      <c r="P2579" s="4" t="e">
        <f>VLOOKUP(H2579,Stock_list!A:Y,25,FALSE)</f>
        <v>#N/A</v>
      </c>
      <c r="T2579" s="144"/>
      <c r="U2579" s="145" t="e">
        <f>VLOOKUP(H2579,Stock_list!A:N,14,FALSE)</f>
        <v>#N/A</v>
      </c>
    </row>
    <row r="2580" spans="1:21" ht="16.5" customHeight="1">
      <c r="A2580" s="159" t="s">
        <v>264</v>
      </c>
      <c r="B2580" s="114" t="str">
        <f>VLOOKUP(A2580,'Data pick slip'!B:F,5,FALSE)</f>
        <v>KHJ-MC200-00</v>
      </c>
      <c r="F2580" s="157" t="s">
        <v>379</v>
      </c>
      <c r="H2580" s="138">
        <v>989</v>
      </c>
      <c r="I2580" s="139" t="e">
        <f>VLOOKUP(H2580,Stock_list!A:R,18,FALSE)</f>
        <v>#N/A</v>
      </c>
      <c r="J2580" s="139" t="e">
        <f>VLOOKUP(H2580,Stock_list!A:S,17,FALSE)</f>
        <v>#N/A</v>
      </c>
      <c r="K2580" s="51" t="e">
        <f>VLOOKUP(H2580,Stock_list!A:T,16,FALSE)</f>
        <v>#N/A</v>
      </c>
      <c r="L2580" s="4">
        <v>44259</v>
      </c>
      <c r="M2580" s="143">
        <v>3</v>
      </c>
      <c r="P2580" s="4" t="e">
        <f>VLOOKUP(H2580,Stock_list!A:Y,25,FALSE)</f>
        <v>#N/A</v>
      </c>
      <c r="T2580" s="144"/>
      <c r="U2580" s="145" t="e">
        <f>VLOOKUP(H2580,Stock_list!A:N,14,FALSE)</f>
        <v>#N/A</v>
      </c>
    </row>
    <row r="2581" spans="1:21" ht="16.5" customHeight="1">
      <c r="A2581" s="159" t="s">
        <v>265</v>
      </c>
      <c r="B2581" s="114" t="str">
        <f>VLOOKUP(A2581,'Data pick slip'!B:F,5,FALSE)</f>
        <v>KHJ-MC400-00</v>
      </c>
      <c r="F2581" s="157" t="s">
        <v>379</v>
      </c>
      <c r="H2581" s="138">
        <v>989</v>
      </c>
      <c r="I2581" s="139" t="e">
        <f>VLOOKUP(H2581,Stock_list!A:R,18,FALSE)</f>
        <v>#N/A</v>
      </c>
      <c r="J2581" s="139" t="e">
        <f>VLOOKUP(H2581,Stock_list!A:S,17,FALSE)</f>
        <v>#N/A</v>
      </c>
      <c r="K2581" s="51" t="e">
        <f>VLOOKUP(H2581,Stock_list!A:T,16,FALSE)</f>
        <v>#N/A</v>
      </c>
      <c r="L2581" s="4">
        <v>44259</v>
      </c>
      <c r="M2581" s="143">
        <v>2</v>
      </c>
      <c r="P2581" s="4" t="e">
        <f>VLOOKUP(H2581,Stock_list!A:Y,25,FALSE)</f>
        <v>#N/A</v>
      </c>
      <c r="T2581" s="144"/>
      <c r="U2581" s="145" t="e">
        <f>VLOOKUP(H2581,Stock_list!A:N,14,FALSE)</f>
        <v>#N/A</v>
      </c>
    </row>
    <row r="2582" spans="1:21" ht="16.5" customHeight="1">
      <c r="A2582" s="159" t="s">
        <v>261</v>
      </c>
      <c r="B2582" s="114" t="str">
        <f>VLOOKUP(A2582,'Data pick slip'!B:F,5,FALSE)</f>
        <v>KHJ-MC100-00</v>
      </c>
      <c r="F2582" s="157" t="s">
        <v>290</v>
      </c>
      <c r="I2582" s="139" t="s">
        <v>611</v>
      </c>
      <c r="J2582" s="139" t="s">
        <v>906</v>
      </c>
      <c r="K2582" s="51" t="s">
        <v>225</v>
      </c>
      <c r="L2582" s="4">
        <v>44167</v>
      </c>
      <c r="M2582" s="140">
        <v>4</v>
      </c>
      <c r="P2582" s="4" t="s">
        <v>214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261</v>
      </c>
      <c r="B2583" s="114" t="str">
        <f>VLOOKUP(A2583,'Data pick slip'!B:F,5,FALSE)</f>
        <v>KHJ-MC100-00</v>
      </c>
      <c r="F2583" s="157" t="s">
        <v>379</v>
      </c>
      <c r="I2583" s="139" t="s">
        <v>533</v>
      </c>
      <c r="J2583" s="139" t="s">
        <v>448</v>
      </c>
      <c r="K2583" s="51" t="s">
        <v>225</v>
      </c>
      <c r="L2583" s="4">
        <v>44165</v>
      </c>
      <c r="M2583" s="140">
        <v>170</v>
      </c>
      <c r="P2583" s="4" t="s">
        <v>214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265</v>
      </c>
      <c r="B2584" s="114" t="str">
        <f>VLOOKUP(A2584,'Data pick slip'!B:F,5,FALSE)</f>
        <v>KHJ-MC400-00</v>
      </c>
      <c r="F2584" s="157" t="s">
        <v>379</v>
      </c>
      <c r="I2584" s="139" t="s">
        <v>533</v>
      </c>
      <c r="J2584" s="139" t="s">
        <v>448</v>
      </c>
      <c r="K2584" s="51" t="s">
        <v>225</v>
      </c>
      <c r="L2584" s="4">
        <v>44165</v>
      </c>
      <c r="M2584" s="140">
        <v>30</v>
      </c>
      <c r="P2584" s="4" t="s">
        <v>214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266</v>
      </c>
      <c r="B2585" s="114" t="str">
        <f>VLOOKUP(A2585,'Data pick slip'!B:F,5,FALSE)</f>
        <v>KHJ-MC500-00</v>
      </c>
      <c r="F2585" s="157" t="s">
        <v>379</v>
      </c>
      <c r="I2585" s="139" t="s">
        <v>533</v>
      </c>
      <c r="J2585" s="139" t="s">
        <v>448</v>
      </c>
      <c r="K2585" s="51" t="s">
        <v>225</v>
      </c>
      <c r="L2585" s="4">
        <v>44165</v>
      </c>
      <c r="M2585" s="140">
        <v>10</v>
      </c>
      <c r="P2585" s="4" t="s">
        <v>214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268</v>
      </c>
      <c r="B2586" s="114" t="str">
        <f>VLOOKUP(A2586,'Data pick slip'!B:F,5,FALSE)</f>
        <v>KHJ-MC700-00</v>
      </c>
      <c r="F2586" s="157" t="s">
        <v>379</v>
      </c>
      <c r="I2586" s="139" t="s">
        <v>533</v>
      </c>
      <c r="J2586" s="139" t="s">
        <v>448</v>
      </c>
      <c r="K2586" s="51" t="s">
        <v>225</v>
      </c>
      <c r="L2586" s="4">
        <v>44165</v>
      </c>
      <c r="M2586" s="140">
        <v>1</v>
      </c>
      <c r="P2586" s="4" t="s">
        <v>214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261</v>
      </c>
      <c r="B2587" s="114" t="str">
        <f>VLOOKUP(A2587,'Data pick slip'!B:F,5,FALSE)</f>
        <v>KHJ-MC100-00</v>
      </c>
      <c r="F2587" s="157" t="s">
        <v>290</v>
      </c>
      <c r="I2587" s="139" t="s">
        <v>611</v>
      </c>
      <c r="J2587" s="139" t="s">
        <v>907</v>
      </c>
      <c r="K2587" s="51" t="s">
        <v>225</v>
      </c>
      <c r="L2587" s="4">
        <v>44169</v>
      </c>
      <c r="M2587" s="140">
        <v>10</v>
      </c>
      <c r="P2587" s="4" t="s">
        <v>214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264</v>
      </c>
      <c r="B2588" s="114" t="str">
        <f>VLOOKUP(A2588,'Data pick slip'!B:F,5,FALSE)</f>
        <v>KHJ-MC200-00</v>
      </c>
      <c r="F2588" s="157" t="s">
        <v>290</v>
      </c>
      <c r="I2588" s="139" t="s">
        <v>611</v>
      </c>
      <c r="J2588" s="139" t="s">
        <v>908</v>
      </c>
      <c r="K2588" s="51" t="s">
        <v>225</v>
      </c>
      <c r="L2588" s="4">
        <v>44169</v>
      </c>
      <c r="M2588" s="140">
        <v>10</v>
      </c>
      <c r="P2588" s="4" t="s">
        <v>214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329</v>
      </c>
      <c r="B2589" s="114" t="str">
        <f>VLOOKUP(A2589,'Data pick slip'!B:F,5,FALSE)</f>
        <v>KHJ-MC500-00</v>
      </c>
      <c r="F2589" s="157" t="s">
        <v>290</v>
      </c>
      <c r="I2589" s="139" t="s">
        <v>611</v>
      </c>
      <c r="J2589" s="139" t="s">
        <v>909</v>
      </c>
      <c r="K2589" s="51" t="s">
        <v>225</v>
      </c>
      <c r="L2589" s="4">
        <v>44169</v>
      </c>
      <c r="M2589" s="140">
        <v>3</v>
      </c>
      <c r="P2589" s="4" t="s">
        <v>214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267</v>
      </c>
      <c r="B2590" s="114" t="str">
        <f>VLOOKUP(A2590,'Data pick slip'!B:F,5,FALSE)</f>
        <v>KHJ-MC600-00</v>
      </c>
      <c r="F2590" s="157" t="s">
        <v>290</v>
      </c>
      <c r="I2590" s="139" t="s">
        <v>611</v>
      </c>
      <c r="J2590" s="139" t="s">
        <v>909</v>
      </c>
      <c r="K2590" s="51" t="s">
        <v>225</v>
      </c>
      <c r="L2590" s="4">
        <v>44169</v>
      </c>
      <c r="M2590" s="140">
        <v>2</v>
      </c>
      <c r="P2590" s="4" t="s">
        <v>214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274</v>
      </c>
      <c r="B2591" s="114" t="str">
        <f>VLOOKUP(A2591,'Data pick slip'!B:F,5,FALSE)</f>
        <v>KLJ-MC400-00</v>
      </c>
      <c r="F2591" s="157" t="s">
        <v>290</v>
      </c>
      <c r="I2591" s="139" t="s">
        <v>617</v>
      </c>
      <c r="J2591" s="139" t="s">
        <v>910</v>
      </c>
      <c r="K2591" s="51" t="s">
        <v>225</v>
      </c>
      <c r="L2591" s="4">
        <v>44169</v>
      </c>
      <c r="M2591" s="140">
        <v>1</v>
      </c>
      <c r="P2591" s="4" t="s">
        <v>214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261</v>
      </c>
      <c r="B2592" s="114" t="str">
        <f>VLOOKUP(A2592,'Data pick slip'!B:F,5,FALSE)</f>
        <v>KHJ-MC100-00</v>
      </c>
      <c r="F2592" s="157" t="s">
        <v>270</v>
      </c>
      <c r="H2592" s="138">
        <v>990</v>
      </c>
      <c r="I2592" s="139" t="e">
        <f>VLOOKUP(H2592,Stock_list!A:R,18,FALSE)</f>
        <v>#N/A</v>
      </c>
      <c r="J2592" s="139" t="e">
        <f>VLOOKUP(H2592,Stock_list!A:S,17,FALSE)</f>
        <v>#N/A</v>
      </c>
      <c r="K2592" s="51" t="e">
        <f>VLOOKUP(H2592,Stock_list!A:T,16,FALSE)</f>
        <v>#N/A</v>
      </c>
      <c r="L2592" s="4">
        <v>44322</v>
      </c>
      <c r="M2592" s="143">
        <v>50</v>
      </c>
      <c r="P2592" s="4" t="e">
        <f>VLOOKUP(H2592,Stock_list!A:Y,25,FALSE)</f>
        <v>#N/A</v>
      </c>
      <c r="T2592" s="144"/>
      <c r="U2592" s="145" t="e">
        <f>VLOOKUP(H2592,Stock_list!A:N,14,FALSE)</f>
        <v>#N/A</v>
      </c>
    </row>
    <row r="2593" spans="1:21" ht="16.5" customHeight="1">
      <c r="A2593" s="159" t="s">
        <v>264</v>
      </c>
      <c r="B2593" s="114" t="str">
        <f>VLOOKUP(A2593,'Data pick slip'!B:F,5,FALSE)</f>
        <v>KHJ-MC200-00</v>
      </c>
      <c r="F2593" s="157" t="s">
        <v>270</v>
      </c>
      <c r="H2593" s="138">
        <v>990</v>
      </c>
      <c r="I2593" s="139" t="e">
        <f>VLOOKUP(H2593,Stock_list!A:R,18,FALSE)</f>
        <v>#N/A</v>
      </c>
      <c r="J2593" s="139" t="e">
        <f>VLOOKUP(H2593,Stock_list!A:S,17,FALSE)</f>
        <v>#N/A</v>
      </c>
      <c r="K2593" s="51" t="e">
        <f>VLOOKUP(H2593,Stock_list!A:T,16,FALSE)</f>
        <v>#N/A</v>
      </c>
      <c r="L2593" s="4">
        <v>44322</v>
      </c>
      <c r="M2593" s="143">
        <v>5</v>
      </c>
      <c r="P2593" s="4" t="e">
        <f>VLOOKUP(H2593,Stock_list!A:Y,25,FALSE)</f>
        <v>#N/A</v>
      </c>
      <c r="T2593" s="144"/>
      <c r="U2593" s="145" t="e">
        <f>VLOOKUP(H2593,Stock_list!A:N,14,FALSE)</f>
        <v>#N/A</v>
      </c>
    </row>
    <row r="2594" spans="1:21" ht="16.5" customHeight="1">
      <c r="A2594" s="159" t="s">
        <v>265</v>
      </c>
      <c r="B2594" s="114" t="str">
        <f>VLOOKUP(A2594,'Data pick slip'!B:F,5,FALSE)</f>
        <v>KHJ-MC400-00</v>
      </c>
      <c r="F2594" s="157" t="s">
        <v>270</v>
      </c>
      <c r="H2594" s="138">
        <v>990</v>
      </c>
      <c r="I2594" s="139" t="e">
        <f>VLOOKUP(H2594,Stock_list!A:R,18,FALSE)</f>
        <v>#N/A</v>
      </c>
      <c r="J2594" s="139" t="e">
        <f>VLOOKUP(H2594,Stock_list!A:S,17,FALSE)</f>
        <v>#N/A</v>
      </c>
      <c r="K2594" s="51" t="e">
        <f>VLOOKUP(H2594,Stock_list!A:T,16,FALSE)</f>
        <v>#N/A</v>
      </c>
      <c r="L2594" s="4">
        <v>44322</v>
      </c>
      <c r="M2594" s="143">
        <v>2</v>
      </c>
      <c r="P2594" s="4" t="e">
        <f>VLOOKUP(H2594,Stock_list!A:Y,25,FALSE)</f>
        <v>#N/A</v>
      </c>
      <c r="T2594" s="144"/>
      <c r="U2594" s="145" t="e">
        <f>VLOOKUP(H2594,Stock_list!A:N,14,FALSE)</f>
        <v>#N/A</v>
      </c>
    </row>
    <row r="2595" spans="1:21" ht="16.5" customHeight="1">
      <c r="A2595" s="159" t="s">
        <v>261</v>
      </c>
      <c r="B2595" s="114" t="str">
        <f>VLOOKUP(A2595,'Data pick slip'!B:F,5,FALSE)</f>
        <v>KHJ-MC100-00</v>
      </c>
      <c r="F2595" s="157" t="s">
        <v>379</v>
      </c>
      <c r="H2595" s="138">
        <v>992</v>
      </c>
      <c r="I2595" s="139" t="e">
        <f>VLOOKUP(H2595,Stock_list!A:R,18,FALSE)</f>
        <v>#N/A</v>
      </c>
      <c r="J2595" s="139" t="e">
        <f>VLOOKUP(H2595,Stock_list!A:S,17,FALSE)</f>
        <v>#N/A</v>
      </c>
      <c r="K2595" s="51" t="e">
        <f>VLOOKUP(H2595,Stock_list!A:T,16,FALSE)</f>
        <v>#N/A</v>
      </c>
      <c r="L2595" s="4">
        <v>44272</v>
      </c>
      <c r="M2595" s="132">
        <v>60</v>
      </c>
      <c r="P2595" s="4" t="e">
        <f>VLOOKUP(H2595,Stock_list!A:Y,25,FALSE)</f>
        <v>#N/A</v>
      </c>
      <c r="Q2595" s="143"/>
      <c r="T2595" s="144"/>
      <c r="U2595" s="145" t="e">
        <f>VLOOKUP(H2595,Stock_list!A:N,14,FALSE)</f>
        <v>#N/A</v>
      </c>
    </row>
    <row r="2596" spans="1:21" ht="16.5" customHeight="1">
      <c r="A2596" s="159" t="s">
        <v>264</v>
      </c>
      <c r="B2596" s="114" t="str">
        <f>VLOOKUP(A2596,'Data pick slip'!B:F,5,FALSE)</f>
        <v>KHJ-MC200-00</v>
      </c>
      <c r="F2596" s="157" t="s">
        <v>379</v>
      </c>
      <c r="H2596" s="138">
        <v>992</v>
      </c>
      <c r="I2596" s="139" t="e">
        <f>VLOOKUP(H2596,Stock_list!A:R,18,FALSE)</f>
        <v>#N/A</v>
      </c>
      <c r="J2596" s="139" t="e">
        <f>VLOOKUP(H2596,Stock_list!A:S,17,FALSE)</f>
        <v>#N/A</v>
      </c>
      <c r="K2596" s="51" t="e">
        <f>VLOOKUP(H2596,Stock_list!A:T,16,FALSE)</f>
        <v>#N/A</v>
      </c>
      <c r="L2596" s="4">
        <v>44272</v>
      </c>
      <c r="M2596" s="132">
        <v>2</v>
      </c>
      <c r="P2596" s="4" t="e">
        <f>VLOOKUP(H2596,Stock_list!A:Y,25,FALSE)</f>
        <v>#N/A</v>
      </c>
      <c r="Q2596" s="143"/>
      <c r="T2596" s="144"/>
      <c r="U2596" s="145" t="e">
        <f>VLOOKUP(H2596,Stock_list!A:N,14,FALSE)</f>
        <v>#N/A</v>
      </c>
    </row>
    <row r="2597" spans="1:21" ht="16.5" customHeight="1">
      <c r="A2597" s="159" t="s">
        <v>261</v>
      </c>
      <c r="B2597" s="114" t="str">
        <f>VLOOKUP(A2597,'Data pick slip'!B:F,5,FALSE)</f>
        <v>KHJ-MC100-00</v>
      </c>
      <c r="F2597" s="157" t="s">
        <v>379</v>
      </c>
      <c r="H2597" s="138">
        <v>1002</v>
      </c>
      <c r="I2597" s="139" t="e">
        <f>VLOOKUP(H2597,Stock_list!A:R,18,FALSE)</f>
        <v>#N/A</v>
      </c>
      <c r="J2597" s="139" t="e">
        <f>VLOOKUP(H2597,Stock_list!A:S,17,FALSE)</f>
        <v>#N/A</v>
      </c>
      <c r="K2597" s="51" t="e">
        <f>VLOOKUP(H2597,Stock_list!A:T,16,FALSE)</f>
        <v>#N/A</v>
      </c>
      <c r="L2597" s="4">
        <v>44762</v>
      </c>
      <c r="M2597" s="143">
        <v>45</v>
      </c>
      <c r="P2597" s="4" t="e">
        <f>VLOOKUP(H2597,Stock_list!A:Y,25,FALSE)</f>
        <v>#N/A</v>
      </c>
      <c r="T2597" s="144"/>
      <c r="U2597" s="145" t="e">
        <f>VLOOKUP(H2597,Stock_list!A:N,14,FALSE)</f>
        <v>#N/A</v>
      </c>
    </row>
    <row r="2598" spans="1:21" ht="16.5" customHeight="1">
      <c r="A2598" s="159" t="s">
        <v>264</v>
      </c>
      <c r="B2598" s="114" t="str">
        <f>VLOOKUP(A2598,'Data pick slip'!B:F,5,FALSE)</f>
        <v>KHJ-MC200-00</v>
      </c>
      <c r="F2598" s="157" t="s">
        <v>379</v>
      </c>
      <c r="H2598" s="138">
        <v>1002</v>
      </c>
      <c r="I2598" s="139" t="e">
        <f>VLOOKUP(H2598,Stock_list!A:R,18,FALSE)</f>
        <v>#N/A</v>
      </c>
      <c r="J2598" s="139" t="e">
        <f>VLOOKUP(H2598,Stock_list!A:S,17,FALSE)</f>
        <v>#N/A</v>
      </c>
      <c r="K2598" s="51" t="e">
        <f>VLOOKUP(H2598,Stock_list!A:T,16,FALSE)</f>
        <v>#N/A</v>
      </c>
      <c r="L2598" s="4">
        <v>44762</v>
      </c>
      <c r="M2598" s="143">
        <v>5</v>
      </c>
      <c r="P2598" s="4" t="e">
        <f>VLOOKUP(H2598,Stock_list!A:Y,25,FALSE)</f>
        <v>#N/A</v>
      </c>
      <c r="T2598" s="144"/>
      <c r="U2598" s="145" t="e">
        <f>VLOOKUP(H2598,Stock_list!A:N,14,FALSE)</f>
        <v>#N/A</v>
      </c>
    </row>
    <row r="2599" spans="1:21" ht="16.5" customHeight="1">
      <c r="A2599" s="159" t="s">
        <v>329</v>
      </c>
      <c r="B2599" s="114" t="str">
        <f>VLOOKUP(A2599,'Data pick slip'!B:F,5,FALSE)</f>
        <v>KHJ-MC500-00</v>
      </c>
      <c r="F2599" s="157" t="s">
        <v>379</v>
      </c>
      <c r="H2599" s="138">
        <v>1002</v>
      </c>
      <c r="I2599" s="139" t="e">
        <f>VLOOKUP(H2599,Stock_list!A:R,18,FALSE)</f>
        <v>#N/A</v>
      </c>
      <c r="J2599" s="139" t="e">
        <f>VLOOKUP(H2599,Stock_list!A:S,17,FALSE)</f>
        <v>#N/A</v>
      </c>
      <c r="K2599" s="51" t="e">
        <f>VLOOKUP(H2599,Stock_list!A:T,16,FALSE)</f>
        <v>#N/A</v>
      </c>
      <c r="L2599" s="4">
        <v>44762</v>
      </c>
      <c r="M2599" s="143">
        <v>1</v>
      </c>
      <c r="P2599" s="4" t="e">
        <f>VLOOKUP(H2599,Stock_list!A:Y,25,FALSE)</f>
        <v>#N/A</v>
      </c>
      <c r="T2599" s="144"/>
      <c r="U2599" s="145" t="e">
        <f>VLOOKUP(H2599,Stock_list!A:N,14,FALSE)</f>
        <v>#N/A</v>
      </c>
    </row>
    <row r="2600" spans="1:21" ht="16.5" customHeight="1">
      <c r="A2600" s="159" t="s">
        <v>261</v>
      </c>
      <c r="B2600" s="114" t="str">
        <f>VLOOKUP(A2600,'Data pick slip'!B:F,5,FALSE)</f>
        <v>KHJ-MC100-00</v>
      </c>
      <c r="F2600" s="157" t="s">
        <v>379</v>
      </c>
      <c r="H2600" s="138">
        <v>1002</v>
      </c>
      <c r="I2600" s="139" t="e">
        <f>VLOOKUP(H2600,Stock_list!A:R,18,FALSE)</f>
        <v>#N/A</v>
      </c>
      <c r="J2600" s="139" t="e">
        <f>VLOOKUP(H2600,Stock_list!A:S,17,FALSE)</f>
        <v>#N/A</v>
      </c>
      <c r="K2600" s="51" t="e">
        <f>VLOOKUP(H2600,Stock_list!A:T,16,FALSE)</f>
        <v>#N/A</v>
      </c>
      <c r="L2600" s="4">
        <v>44662</v>
      </c>
      <c r="M2600" s="140">
        <v>45</v>
      </c>
      <c r="N2600" s="143"/>
      <c r="P2600" s="4" t="e">
        <f>VLOOKUP(H2600,Stock_list!A:Y,25,FALSE)</f>
        <v>#N/A</v>
      </c>
      <c r="T2600" s="144"/>
      <c r="U2600" s="145" t="e">
        <f>VLOOKUP(H2600,Stock_list!A:N,14,FALSE)</f>
        <v>#N/A</v>
      </c>
    </row>
    <row r="2601" spans="1:21" ht="16.5" customHeight="1">
      <c r="A2601" s="159" t="s">
        <v>264</v>
      </c>
      <c r="B2601" s="114" t="str">
        <f>VLOOKUP(A2601,'Data pick slip'!B:F,5,FALSE)</f>
        <v>KHJ-MC200-00</v>
      </c>
      <c r="F2601" s="157" t="s">
        <v>379</v>
      </c>
      <c r="H2601" s="138">
        <v>1002</v>
      </c>
      <c r="I2601" s="139" t="e">
        <f>VLOOKUP(H2601,Stock_list!A:R,18,FALSE)</f>
        <v>#N/A</v>
      </c>
      <c r="J2601" s="139" t="e">
        <f>VLOOKUP(H2601,Stock_list!A:S,17,FALSE)</f>
        <v>#N/A</v>
      </c>
      <c r="K2601" s="51" t="e">
        <f>VLOOKUP(H2601,Stock_list!A:T,16,FALSE)</f>
        <v>#N/A</v>
      </c>
      <c r="L2601" s="4">
        <v>44662</v>
      </c>
      <c r="M2601" s="140">
        <v>4</v>
      </c>
      <c r="N2601" s="143"/>
      <c r="P2601" s="4" t="e">
        <f>VLOOKUP(H2601,Stock_list!A:Y,25,FALSE)</f>
        <v>#N/A</v>
      </c>
      <c r="T2601" s="144"/>
      <c r="U2601" s="145" t="e">
        <f>VLOOKUP(H2601,Stock_list!A:N,14,FALSE)</f>
        <v>#N/A</v>
      </c>
    </row>
    <row r="2602" spans="1:21" ht="16.5" customHeight="1">
      <c r="A2602" s="159" t="s">
        <v>329</v>
      </c>
      <c r="B2602" s="114" t="str">
        <f>VLOOKUP(A2602,'Data pick slip'!B:F,5,FALSE)</f>
        <v>KHJ-MC500-00</v>
      </c>
      <c r="F2602" s="157" t="s">
        <v>379</v>
      </c>
      <c r="H2602" s="138">
        <v>1002</v>
      </c>
      <c r="I2602" s="139" t="e">
        <f>VLOOKUP(H2602,Stock_list!A:R,18,FALSE)</f>
        <v>#N/A</v>
      </c>
      <c r="J2602" s="139" t="e">
        <f>VLOOKUP(H2602,Stock_list!A:S,17,FALSE)</f>
        <v>#N/A</v>
      </c>
      <c r="K2602" s="51" t="e">
        <f>VLOOKUP(H2602,Stock_list!A:T,16,FALSE)</f>
        <v>#N/A</v>
      </c>
      <c r="L2602" s="4">
        <v>44662</v>
      </c>
      <c r="M2602" s="140">
        <v>1</v>
      </c>
      <c r="N2602" s="143"/>
      <c r="P2602" s="4" t="e">
        <f>VLOOKUP(H2602,Stock_list!A:Y,25,FALSE)</f>
        <v>#N/A</v>
      </c>
      <c r="T2602" s="144"/>
      <c r="U2602" s="145" t="e">
        <f>VLOOKUP(H2602,Stock_list!A:N,14,FALSE)</f>
        <v>#N/A</v>
      </c>
    </row>
    <row r="2603" spans="1:21" ht="16.5" customHeight="1">
      <c r="A2603" s="159" t="s">
        <v>272</v>
      </c>
      <c r="B2603" s="114" t="str">
        <f>VLOOKUP(A2603,'Data pick slip'!B:F,5,FALSE)</f>
        <v>KLJ-MC100-00</v>
      </c>
      <c r="F2603" s="157" t="s">
        <v>379</v>
      </c>
      <c r="H2603" s="138">
        <v>1014</v>
      </c>
      <c r="I2603" s="139" t="e">
        <f>VLOOKUP(H2603,Stock_list!A:R,18,FALSE)</f>
        <v>#N/A</v>
      </c>
      <c r="J2603" s="139" t="e">
        <f>VLOOKUP(H2603,Stock_list!A:S,17,FALSE)</f>
        <v>#N/A</v>
      </c>
      <c r="K2603" s="51" t="e">
        <f>VLOOKUP(H2603,Stock_list!A:T,16,FALSE)</f>
        <v>#N/A</v>
      </c>
      <c r="L2603" s="4">
        <v>44263</v>
      </c>
      <c r="M2603" s="143">
        <v>300</v>
      </c>
      <c r="P2603" s="4" t="e">
        <f>VLOOKUP(H2603,Stock_list!A:Y,25,FALSE)</f>
        <v>#N/A</v>
      </c>
      <c r="T2603" s="144"/>
      <c r="U2603" s="145" t="e">
        <f>VLOOKUP(H2603,Stock_list!A:N,14,FALSE)</f>
        <v>#N/A</v>
      </c>
    </row>
    <row r="2604" spans="1:21" ht="16.5" customHeight="1">
      <c r="A2604" s="159" t="s">
        <v>264</v>
      </c>
      <c r="B2604" s="114" t="str">
        <f>VLOOKUP(A2604,'Data pick slip'!B:F,5,FALSE)</f>
        <v>KHJ-MC200-00</v>
      </c>
      <c r="F2604" s="157" t="s">
        <v>379</v>
      </c>
      <c r="H2604" s="138">
        <v>1014</v>
      </c>
      <c r="I2604" s="139" t="e">
        <f>VLOOKUP(H2604,Stock_list!A:R,18,FALSE)</f>
        <v>#N/A</v>
      </c>
      <c r="J2604" s="139" t="e">
        <f>VLOOKUP(H2604,Stock_list!A:S,17,FALSE)</f>
        <v>#N/A</v>
      </c>
      <c r="K2604" s="51" t="e">
        <f>VLOOKUP(H2604,Stock_list!A:T,16,FALSE)</f>
        <v>#N/A</v>
      </c>
      <c r="L2604" s="4">
        <v>44263</v>
      </c>
      <c r="M2604" s="143">
        <v>50</v>
      </c>
      <c r="P2604" s="4" t="e">
        <f>VLOOKUP(H2604,Stock_list!A:Y,25,FALSE)</f>
        <v>#N/A</v>
      </c>
      <c r="T2604" s="144"/>
      <c r="U2604" s="145" t="e">
        <f>VLOOKUP(H2604,Stock_list!A:N,14,FALSE)</f>
        <v>#N/A</v>
      </c>
    </row>
    <row r="2605" spans="1:21" ht="16.5" customHeight="1">
      <c r="A2605" s="159" t="s">
        <v>265</v>
      </c>
      <c r="B2605" s="114" t="str">
        <f>VLOOKUP(A2605,'Data pick slip'!B:F,5,FALSE)</f>
        <v>KHJ-MC400-00</v>
      </c>
      <c r="F2605" s="157" t="s">
        <v>379</v>
      </c>
      <c r="H2605" s="138">
        <v>1014</v>
      </c>
      <c r="I2605" s="139" t="e">
        <f>VLOOKUP(H2605,Stock_list!A:R,18,FALSE)</f>
        <v>#N/A</v>
      </c>
      <c r="J2605" s="139" t="e">
        <f>VLOOKUP(H2605,Stock_list!A:S,17,FALSE)</f>
        <v>#N/A</v>
      </c>
      <c r="K2605" s="51" t="e">
        <f>VLOOKUP(H2605,Stock_list!A:T,16,FALSE)</f>
        <v>#N/A</v>
      </c>
      <c r="L2605" s="4">
        <v>44263</v>
      </c>
      <c r="M2605" s="143">
        <v>10</v>
      </c>
      <c r="P2605" s="4" t="e">
        <f>VLOOKUP(H2605,Stock_list!A:Y,25,FALSE)</f>
        <v>#N/A</v>
      </c>
      <c r="T2605" s="144"/>
      <c r="U2605" s="145" t="e">
        <f>VLOOKUP(H2605,Stock_list!A:N,14,FALSE)</f>
        <v>#N/A</v>
      </c>
    </row>
    <row r="2606" spans="1:21" ht="16.5" customHeight="1">
      <c r="A2606" s="159" t="s">
        <v>266</v>
      </c>
      <c r="B2606" s="114" t="str">
        <f>VLOOKUP(A2606,'Data pick slip'!B:F,5,FALSE)</f>
        <v>KHJ-MC500-00</v>
      </c>
      <c r="F2606" s="157" t="s">
        <v>379</v>
      </c>
      <c r="H2606" s="138">
        <v>1014</v>
      </c>
      <c r="I2606" s="139" t="e">
        <f>VLOOKUP(H2606,Stock_list!A:R,18,FALSE)</f>
        <v>#N/A</v>
      </c>
      <c r="J2606" s="139" t="e">
        <f>VLOOKUP(H2606,Stock_list!A:S,17,FALSE)</f>
        <v>#N/A</v>
      </c>
      <c r="K2606" s="51" t="e">
        <f>VLOOKUP(H2606,Stock_list!A:T,16,FALSE)</f>
        <v>#N/A</v>
      </c>
      <c r="L2606" s="4">
        <v>44263</v>
      </c>
      <c r="M2606" s="143">
        <v>10</v>
      </c>
      <c r="P2606" s="4" t="e">
        <f>VLOOKUP(H2606,Stock_list!A:Y,25,FALSE)</f>
        <v>#N/A</v>
      </c>
      <c r="T2606" s="144"/>
      <c r="U2606" s="145" t="e">
        <f>VLOOKUP(H2606,Stock_list!A:N,14,FALSE)</f>
        <v>#N/A</v>
      </c>
    </row>
    <row r="2607" spans="1:21" ht="16.5" customHeight="1">
      <c r="A2607" s="159" t="s">
        <v>267</v>
      </c>
      <c r="B2607" s="114" t="str">
        <f>VLOOKUP(A2607,'Data pick slip'!B:F,5,FALSE)</f>
        <v>KHJ-MC600-00</v>
      </c>
      <c r="F2607" s="157" t="s">
        <v>379</v>
      </c>
      <c r="H2607" s="138">
        <v>1014</v>
      </c>
      <c r="I2607" s="139" t="e">
        <f>VLOOKUP(H2607,Stock_list!A:R,18,FALSE)</f>
        <v>#N/A</v>
      </c>
      <c r="J2607" s="139" t="e">
        <f>VLOOKUP(H2607,Stock_list!A:S,17,FALSE)</f>
        <v>#N/A</v>
      </c>
      <c r="K2607" s="51" t="e">
        <f>VLOOKUP(H2607,Stock_list!A:T,16,FALSE)</f>
        <v>#N/A</v>
      </c>
      <c r="L2607" s="4">
        <v>44263</v>
      </c>
      <c r="M2607" s="143">
        <v>5</v>
      </c>
      <c r="P2607" s="4" t="e">
        <f>VLOOKUP(H2607,Stock_list!A:Y,25,FALSE)</f>
        <v>#N/A</v>
      </c>
      <c r="T2607" s="144"/>
      <c r="U2607" s="145" t="e">
        <f>VLOOKUP(H2607,Stock_list!A:N,14,FALSE)</f>
        <v>#N/A</v>
      </c>
    </row>
    <row r="2608" spans="1:21" ht="16.5" customHeight="1">
      <c r="A2608" s="159" t="s">
        <v>277</v>
      </c>
      <c r="B2608" s="114" t="str">
        <f>VLOOKUP(A2608,'Data pick slip'!B:F,5,FALSE)</f>
        <v>KLJ-MC700-00</v>
      </c>
      <c r="F2608" s="157" t="s">
        <v>270</v>
      </c>
      <c r="H2608" s="138">
        <v>1014</v>
      </c>
      <c r="I2608" s="139" t="e">
        <f>VLOOKUP(H2608,Stock_list!A:R,18,FALSE)</f>
        <v>#N/A</v>
      </c>
      <c r="J2608" s="139" t="e">
        <f>VLOOKUP(H2608,Stock_list!A:S,17,FALSE)</f>
        <v>#N/A</v>
      </c>
      <c r="K2608" s="51" t="e">
        <f>VLOOKUP(H2608,Stock_list!A:T,16,FALSE)</f>
        <v>#N/A</v>
      </c>
      <c r="L2608" s="4">
        <v>44265</v>
      </c>
      <c r="M2608" s="143"/>
      <c r="O2608" s="132">
        <f>1-1</f>
        <v>0</v>
      </c>
      <c r="P2608" s="4" t="e">
        <f>VLOOKUP(H2608,Stock_list!A:Y,25,FALSE)</f>
        <v>#N/A</v>
      </c>
      <c r="S2608" s="268"/>
      <c r="T2608" s="144"/>
      <c r="U2608" s="145" t="e">
        <f>VLOOKUP(H2608,Stock_list!A:N,14,FALSE)</f>
        <v>#N/A</v>
      </c>
    </row>
    <row r="2609" spans="1:21" ht="16.5" customHeight="1">
      <c r="A2609" s="159" t="s">
        <v>268</v>
      </c>
      <c r="B2609" s="281" t="str">
        <f>VLOOKUP(A2609,'Data pick slip'!B:F,5,FALSE)</f>
        <v>KHJ-MC700-00</v>
      </c>
      <c r="F2609" s="157" t="s">
        <v>270</v>
      </c>
      <c r="H2609" s="138">
        <v>1014</v>
      </c>
      <c r="I2609" s="139" t="e">
        <f>VLOOKUP(H2609,Stock_list!A:R,18,FALSE)</f>
        <v>#N/A</v>
      </c>
      <c r="J2609" s="139" t="e">
        <f>VLOOKUP(H2609,Stock_list!A:S,17,FALSE)</f>
        <v>#N/A</v>
      </c>
      <c r="K2609" s="51" t="e">
        <f>VLOOKUP(H2609,Stock_list!A:T,16,FALSE)</f>
        <v>#N/A</v>
      </c>
      <c r="L2609" s="4">
        <v>44357</v>
      </c>
      <c r="M2609" s="143">
        <v>1</v>
      </c>
      <c r="P2609" s="4" t="e">
        <f>VLOOKUP(H2609,Stock_list!A:Y,25,FALSE)</f>
        <v>#N/A</v>
      </c>
      <c r="S2609" s="268" t="s">
        <v>295</v>
      </c>
      <c r="T2609" s="285" t="s">
        <v>911</v>
      </c>
      <c r="U2609" s="145" t="e">
        <f>VLOOKUP(H2609,Stock_list!A:N,14,FALSE)</f>
        <v>#N/A</v>
      </c>
    </row>
    <row r="2610" spans="1:21" ht="16.5" customHeight="1">
      <c r="A2610" s="159" t="s">
        <v>269</v>
      </c>
      <c r="B2610" s="281" t="str">
        <f>VLOOKUP(A2610,'Data pick slip'!B:F,5,FALSE)</f>
        <v>KHJ-MC800-00</v>
      </c>
      <c r="F2610" s="157" t="s">
        <v>270</v>
      </c>
      <c r="H2610" s="138">
        <v>1014</v>
      </c>
      <c r="I2610" s="139" t="e">
        <f>VLOOKUP(H2610,Stock_list!A:R,18,FALSE)</f>
        <v>#N/A</v>
      </c>
      <c r="J2610" s="139" t="e">
        <f>VLOOKUP(H2610,Stock_list!A:S,17,FALSE)</f>
        <v>#N/A</v>
      </c>
      <c r="K2610" s="51" t="e">
        <f>VLOOKUP(H2610,Stock_list!A:T,16,FALSE)</f>
        <v>#N/A</v>
      </c>
      <c r="L2610" s="4">
        <v>44357</v>
      </c>
      <c r="M2610" s="143">
        <v>1</v>
      </c>
      <c r="P2610" s="4" t="e">
        <f>VLOOKUP(H2610,Stock_list!A:Y,25,FALSE)</f>
        <v>#N/A</v>
      </c>
      <c r="S2610" s="268" t="s">
        <v>295</v>
      </c>
      <c r="T2610" s="285" t="s">
        <v>911</v>
      </c>
      <c r="U2610" s="145" t="e">
        <f>VLOOKUP(H2610,Stock_list!A:N,14,FALSE)</f>
        <v>#N/A</v>
      </c>
    </row>
    <row r="2611" spans="1:21" ht="16.5" customHeight="1">
      <c r="A2611" s="159" t="s">
        <v>261</v>
      </c>
      <c r="B2611" s="114" t="str">
        <f>VLOOKUP(A2611,'Data pick slip'!B:F,5,FALSE)</f>
        <v>KHJ-MC100-00</v>
      </c>
      <c r="F2611" s="157" t="s">
        <v>379</v>
      </c>
      <c r="H2611" s="138">
        <v>1018</v>
      </c>
      <c r="I2611" s="139" t="e">
        <f>VLOOKUP(H2611,Stock_list!A:R,18,FALSE)</f>
        <v>#N/A</v>
      </c>
      <c r="J2611" s="139" t="e">
        <f>VLOOKUP(H2611,Stock_list!A:S,17,FALSE)</f>
        <v>#N/A</v>
      </c>
      <c r="K2611" s="51" t="e">
        <f>VLOOKUP(H2611,Stock_list!A:T,16,FALSE)</f>
        <v>#N/A</v>
      </c>
      <c r="L2611" s="4">
        <v>44294</v>
      </c>
      <c r="M2611" s="143">
        <v>40</v>
      </c>
      <c r="P2611" s="4" t="e">
        <f>VLOOKUP(H2611,Stock_list!A:Y,25,FALSE)</f>
        <v>#N/A</v>
      </c>
      <c r="T2611" s="144"/>
      <c r="U2611" s="145" t="e">
        <f>VLOOKUP(H2611,Stock_list!A:N,14,FALSE)</f>
        <v>#N/A</v>
      </c>
    </row>
    <row r="2612" spans="1:21" ht="16.5" customHeight="1">
      <c r="A2612" s="159" t="s">
        <v>261</v>
      </c>
      <c r="B2612" s="114" t="str">
        <f>VLOOKUP(A2612,'Data pick slip'!B:F,5,FALSE)</f>
        <v>KHJ-MC100-00</v>
      </c>
      <c r="F2612" s="157" t="s">
        <v>379</v>
      </c>
      <c r="H2612" s="138">
        <v>1020</v>
      </c>
      <c r="I2612" s="139" t="e">
        <f>VLOOKUP(H2612,Stock_list!A:R,18,FALSE)</f>
        <v>#N/A</v>
      </c>
      <c r="J2612" s="139" t="e">
        <f>VLOOKUP(H2612,Stock_list!A:S,17,FALSE)</f>
        <v>#N/A</v>
      </c>
      <c r="K2612" s="51" t="e">
        <f>VLOOKUP(H2612,Stock_list!A:T,16,FALSE)</f>
        <v>#N/A</v>
      </c>
      <c r="L2612" s="4">
        <v>44263</v>
      </c>
      <c r="M2612" s="143">
        <v>30</v>
      </c>
      <c r="P2612" s="4" t="e">
        <f>VLOOKUP(H2612,Stock_list!A:Y,25,FALSE)</f>
        <v>#N/A</v>
      </c>
      <c r="T2612" s="144"/>
      <c r="U2612" s="145" t="e">
        <f>VLOOKUP(H2612,Stock_list!A:N,14,FALSE)</f>
        <v>#N/A</v>
      </c>
    </row>
    <row r="2613" spans="1:21" ht="16.5" customHeight="1">
      <c r="A2613" s="159" t="s">
        <v>264</v>
      </c>
      <c r="B2613" s="114" t="str">
        <f>VLOOKUP(A2613,'Data pick slip'!B:F,5,FALSE)</f>
        <v>KHJ-MC200-00</v>
      </c>
      <c r="F2613" s="157" t="s">
        <v>379</v>
      </c>
      <c r="H2613" s="138">
        <v>1020</v>
      </c>
      <c r="I2613" s="139" t="e">
        <f>VLOOKUP(H2613,Stock_list!A:R,18,FALSE)</f>
        <v>#N/A</v>
      </c>
      <c r="J2613" s="139" t="e">
        <f>VLOOKUP(H2613,Stock_list!A:S,17,FALSE)</f>
        <v>#N/A</v>
      </c>
      <c r="K2613" s="51" t="e">
        <f>VLOOKUP(H2613,Stock_list!A:T,16,FALSE)</f>
        <v>#N/A</v>
      </c>
      <c r="L2613" s="4">
        <v>44263</v>
      </c>
      <c r="M2613" s="143">
        <v>10</v>
      </c>
      <c r="P2613" s="4" t="e">
        <f>VLOOKUP(H2613,Stock_list!A:Y,25,FALSE)</f>
        <v>#N/A</v>
      </c>
      <c r="T2613" s="144"/>
      <c r="U2613" s="145" t="e">
        <f>VLOOKUP(H2613,Stock_list!A:N,14,FALSE)</f>
        <v>#N/A</v>
      </c>
    </row>
    <row r="2614" spans="1:21" ht="16.5" customHeight="1">
      <c r="A2614" s="159" t="s">
        <v>265</v>
      </c>
      <c r="B2614" s="114" t="str">
        <f>VLOOKUP(A2614,'Data pick slip'!B:F,5,FALSE)</f>
        <v>KHJ-MC400-00</v>
      </c>
      <c r="F2614" s="157" t="s">
        <v>379</v>
      </c>
      <c r="H2614" s="138">
        <v>1020</v>
      </c>
      <c r="I2614" s="139" t="e">
        <f>VLOOKUP(H2614,Stock_list!A:R,18,FALSE)</f>
        <v>#N/A</v>
      </c>
      <c r="J2614" s="139" t="e">
        <f>VLOOKUP(H2614,Stock_list!A:S,17,FALSE)</f>
        <v>#N/A</v>
      </c>
      <c r="K2614" s="51" t="e">
        <f>VLOOKUP(H2614,Stock_list!A:T,16,FALSE)</f>
        <v>#N/A</v>
      </c>
      <c r="L2614" s="4">
        <v>44263</v>
      </c>
      <c r="M2614" s="143">
        <v>2</v>
      </c>
      <c r="P2614" s="4" t="e">
        <f>VLOOKUP(H2614,Stock_list!A:Y,25,FALSE)</f>
        <v>#N/A</v>
      </c>
      <c r="T2614" s="144"/>
      <c r="U2614" s="145" t="e">
        <f>VLOOKUP(H2614,Stock_list!A:N,14,FALSE)</f>
        <v>#N/A</v>
      </c>
    </row>
    <row r="2615" spans="1:21" ht="16.5" customHeight="1">
      <c r="A2615" s="159" t="s">
        <v>261</v>
      </c>
      <c r="B2615" s="114" t="str">
        <f>VLOOKUP(A2615,'Data pick slip'!B:F,5,FALSE)</f>
        <v>KHJ-MC100-00</v>
      </c>
      <c r="F2615" s="157" t="s">
        <v>290</v>
      </c>
      <c r="I2615" s="139" t="s">
        <v>611</v>
      </c>
      <c r="J2615" s="139" t="s">
        <v>912</v>
      </c>
      <c r="K2615" s="51" t="s">
        <v>225</v>
      </c>
      <c r="L2615" s="4">
        <v>44179</v>
      </c>
      <c r="M2615" s="140">
        <v>1</v>
      </c>
      <c r="P2615" s="4" t="s">
        <v>214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272</v>
      </c>
      <c r="B2616" s="114" t="str">
        <f>VLOOKUP(A2616,'Data pick slip'!B:F,5,FALSE)</f>
        <v>KLJ-MC100-00</v>
      </c>
      <c r="F2616" s="157" t="s">
        <v>290</v>
      </c>
      <c r="I2616" s="139" t="s">
        <v>611</v>
      </c>
      <c r="J2616" s="139" t="s">
        <v>912</v>
      </c>
      <c r="K2616" s="51" t="s">
        <v>225</v>
      </c>
      <c r="L2616" s="4">
        <v>44179</v>
      </c>
      <c r="M2616" s="140">
        <v>29</v>
      </c>
      <c r="P2616" s="4" t="s">
        <v>214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272</v>
      </c>
      <c r="B2617" s="114" t="str">
        <f>VLOOKUP(A2617,'Data pick slip'!B:F,5,FALSE)</f>
        <v>KLJ-MC100-00</v>
      </c>
      <c r="F2617" s="157" t="s">
        <v>379</v>
      </c>
      <c r="I2617" s="139" t="s">
        <v>533</v>
      </c>
      <c r="J2617" s="139" t="s">
        <v>913</v>
      </c>
      <c r="K2617" s="51" t="s">
        <v>225</v>
      </c>
      <c r="L2617" s="4">
        <v>44174</v>
      </c>
      <c r="M2617" s="140">
        <v>100</v>
      </c>
      <c r="P2617" s="4" t="s">
        <v>214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261</v>
      </c>
      <c r="B2618" s="114" t="str">
        <f>VLOOKUP(A2618,'Data pick slip'!B:F,5,FALSE)</f>
        <v>KHJ-MC100-00</v>
      </c>
      <c r="F2618" s="157" t="s">
        <v>379</v>
      </c>
      <c r="H2618" s="138">
        <v>1022</v>
      </c>
      <c r="I2618" s="139" t="e">
        <f>VLOOKUP(H2618,Stock_list!A:R,18,FALSE)</f>
        <v>#N/A</v>
      </c>
      <c r="J2618" s="139" t="e">
        <f>VLOOKUP(H2618,Stock_list!A:S,17,FALSE)</f>
        <v>#N/A</v>
      </c>
      <c r="K2618" s="51" t="e">
        <f>VLOOKUP(H2618,Stock_list!A:T,16,FALSE)</f>
        <v>#N/A</v>
      </c>
      <c r="L2618" s="4">
        <v>44267</v>
      </c>
      <c r="M2618" s="143">
        <v>72</v>
      </c>
      <c r="P2618" s="4" t="e">
        <f>VLOOKUP(H2618,Stock_list!A:Y,25,FALSE)</f>
        <v>#N/A</v>
      </c>
      <c r="T2618" s="144"/>
      <c r="U2618" s="145" t="e">
        <f>VLOOKUP(H2618,Stock_list!A:N,14,FALSE)</f>
        <v>#N/A</v>
      </c>
    </row>
    <row r="2619" spans="1:21" ht="16.5" customHeight="1">
      <c r="A2619" s="159" t="s">
        <v>264</v>
      </c>
      <c r="B2619" s="114" t="str">
        <f>VLOOKUP(A2619,'Data pick slip'!B:F,5,FALSE)</f>
        <v>KHJ-MC200-00</v>
      </c>
      <c r="F2619" s="157" t="s">
        <v>379</v>
      </c>
      <c r="H2619" s="138">
        <v>1022</v>
      </c>
      <c r="I2619" s="139" t="e">
        <f>VLOOKUP(H2619,Stock_list!A:R,18,FALSE)</f>
        <v>#N/A</v>
      </c>
      <c r="J2619" s="139" t="e">
        <f>VLOOKUP(H2619,Stock_list!A:S,17,FALSE)</f>
        <v>#N/A</v>
      </c>
      <c r="K2619" s="51" t="e">
        <f>VLOOKUP(H2619,Stock_list!A:T,16,FALSE)</f>
        <v>#N/A</v>
      </c>
      <c r="L2619" s="4">
        <v>44267</v>
      </c>
      <c r="M2619" s="143">
        <v>12</v>
      </c>
      <c r="P2619" s="4" t="e">
        <f>VLOOKUP(H2619,Stock_list!A:Y,25,FALSE)</f>
        <v>#N/A</v>
      </c>
      <c r="T2619" s="144"/>
      <c r="U2619" s="145" t="e">
        <f>VLOOKUP(H2619,Stock_list!A:N,14,FALSE)</f>
        <v>#N/A</v>
      </c>
    </row>
    <row r="2620" spans="1:21" ht="16.5" customHeight="1">
      <c r="A2620" s="159" t="s">
        <v>285</v>
      </c>
      <c r="B2620" s="114" t="str">
        <f>VLOOKUP(A2620,'Data pick slip'!B:F,5,FALSE)</f>
        <v>KHJ-MC100-00</v>
      </c>
      <c r="F2620" s="157" t="s">
        <v>227</v>
      </c>
      <c r="H2620" s="138">
        <v>1028</v>
      </c>
      <c r="I2620" s="139" t="e">
        <f>VLOOKUP(H2620,Stock_list!A:R,18,FALSE)</f>
        <v>#N/A</v>
      </c>
      <c r="J2620" s="139" t="e">
        <f>VLOOKUP(H2620,Stock_list!A:S,17,FALSE)</f>
        <v>#N/A</v>
      </c>
      <c r="K2620" s="51" t="e">
        <f>VLOOKUP(H2620,Stock_list!A:T,16,FALSE)</f>
        <v>#N/A</v>
      </c>
      <c r="L2620" s="4">
        <v>44271</v>
      </c>
      <c r="M2620" s="140">
        <v>18</v>
      </c>
      <c r="P2620" s="4" t="e">
        <f>VLOOKUP(H2620,Stock_list!A:Y,25,FALSE)</f>
        <v>#N/A</v>
      </c>
      <c r="Q2620" s="143"/>
      <c r="T2620" s="144"/>
      <c r="U2620" s="145" t="e">
        <f>VLOOKUP(H2620,Stock_list!A:N,14,FALSE)</f>
        <v>#N/A</v>
      </c>
    </row>
    <row r="2621" spans="1:21" ht="16.5" customHeight="1">
      <c r="A2621" s="159" t="s">
        <v>272</v>
      </c>
      <c r="B2621" s="114" t="str">
        <f>VLOOKUP(A2621,'Data pick slip'!B:F,5,FALSE)</f>
        <v>KLJ-MC100-00</v>
      </c>
      <c r="F2621" s="157" t="s">
        <v>270</v>
      </c>
      <c r="H2621" s="138">
        <v>1038</v>
      </c>
      <c r="I2621" s="139" t="e">
        <f>VLOOKUP(H2621,Stock_list!A:R,18,FALSE)</f>
        <v>#N/A</v>
      </c>
      <c r="J2621" s="139" t="e">
        <f>VLOOKUP(H2621,Stock_list!A:S,17,FALSE)</f>
        <v>#N/A</v>
      </c>
      <c r="K2621" s="51" t="e">
        <f>VLOOKUP(H2621,Stock_list!A:T,16,FALSE)</f>
        <v>#N/A</v>
      </c>
      <c r="L2621" s="4">
        <v>44230</v>
      </c>
      <c r="M2621" s="132">
        <v>56</v>
      </c>
      <c r="P2621" s="4" t="e">
        <f>VLOOKUP(H2621,Stock_list!A:Y,25,FALSE)</f>
        <v>#N/A</v>
      </c>
      <c r="Q2621" s="143"/>
      <c r="T2621" s="144"/>
      <c r="U2621" s="145" t="e">
        <f>VLOOKUP(H2621,Stock_list!A:N,14,FALSE)</f>
        <v>#N/A</v>
      </c>
    </row>
    <row r="2622" spans="1:21" ht="16.5" customHeight="1">
      <c r="A2622" s="159" t="s">
        <v>273</v>
      </c>
      <c r="B2622" s="114" t="str">
        <f>VLOOKUP(A2622,'Data pick slip'!B:F,5,FALSE)</f>
        <v>KLJ-MC200-00</v>
      </c>
      <c r="F2622" s="157" t="s">
        <v>270</v>
      </c>
      <c r="H2622" s="138">
        <v>1038</v>
      </c>
      <c r="I2622" s="139" t="e">
        <f>VLOOKUP(H2622,Stock_list!A:R,18,FALSE)</f>
        <v>#N/A</v>
      </c>
      <c r="J2622" s="139" t="e">
        <f>VLOOKUP(H2622,Stock_list!A:S,17,FALSE)</f>
        <v>#N/A</v>
      </c>
      <c r="K2622" s="51" t="e">
        <f>VLOOKUP(H2622,Stock_list!A:T,16,FALSE)</f>
        <v>#N/A</v>
      </c>
      <c r="L2622" s="4">
        <v>44230</v>
      </c>
      <c r="M2622" s="132">
        <v>4</v>
      </c>
      <c r="P2622" s="4" t="e">
        <f>VLOOKUP(H2622,Stock_list!A:Y,25,FALSE)</f>
        <v>#N/A</v>
      </c>
      <c r="T2622" s="144"/>
      <c r="U2622" s="145" t="e">
        <f>VLOOKUP(H2622,Stock_list!A:N,14,FALSE)</f>
        <v>#N/A</v>
      </c>
    </row>
    <row r="2623" spans="1:21" ht="16.5" customHeight="1">
      <c r="A2623" s="159" t="s">
        <v>261</v>
      </c>
      <c r="B2623" s="114" t="str">
        <f>VLOOKUP(A2623,'Data pick slip'!B:F,5,FALSE)</f>
        <v>KHJ-MC100-00</v>
      </c>
      <c r="F2623" s="157" t="s">
        <v>290</v>
      </c>
      <c r="H2623" s="138">
        <v>1040</v>
      </c>
      <c r="I2623" s="139" t="e">
        <f>VLOOKUP(H2623,Stock_list!A:R,18,FALSE)</f>
        <v>#N/A</v>
      </c>
      <c r="J2623" s="139" t="e">
        <f>VLOOKUP(H2623,Stock_list!A:S,17,FALSE)</f>
        <v>#N/A</v>
      </c>
      <c r="K2623" s="51" t="e">
        <f>VLOOKUP(H2623,Stock_list!A:T,16,FALSE)</f>
        <v>#N/A</v>
      </c>
      <c r="L2623" s="4">
        <v>44298</v>
      </c>
      <c r="M2623" s="140">
        <v>40</v>
      </c>
      <c r="N2623" s="143"/>
      <c r="P2623" s="4" t="e">
        <f>VLOOKUP(H2623,Stock_list!A:Y,25,FALSE)</f>
        <v>#N/A</v>
      </c>
      <c r="T2623" s="144"/>
      <c r="U2623" s="145" t="e">
        <f>VLOOKUP(H2623,Stock_list!A:N,14,FALSE)</f>
        <v>#N/A</v>
      </c>
    </row>
    <row r="2624" spans="1:21" ht="16.5" customHeight="1">
      <c r="A2624" s="159" t="s">
        <v>264</v>
      </c>
      <c r="B2624" s="114" t="str">
        <f>VLOOKUP(A2624,'Data pick slip'!B:F,5,FALSE)</f>
        <v>KHJ-MC200-00</v>
      </c>
      <c r="F2624" s="157" t="s">
        <v>290</v>
      </c>
      <c r="H2624" s="138">
        <v>1040</v>
      </c>
      <c r="I2624" s="139" t="e">
        <f>VLOOKUP(H2624,Stock_list!A:R,18,FALSE)</f>
        <v>#N/A</v>
      </c>
      <c r="J2624" s="139" t="e">
        <f>VLOOKUP(H2624,Stock_list!A:S,17,FALSE)</f>
        <v>#N/A</v>
      </c>
      <c r="K2624" s="51" t="e">
        <f>VLOOKUP(H2624,Stock_list!A:T,16,FALSE)</f>
        <v>#N/A</v>
      </c>
      <c r="L2624" s="4">
        <v>44298</v>
      </c>
      <c r="M2624" s="140">
        <v>12</v>
      </c>
      <c r="N2624" s="143"/>
      <c r="P2624" s="4" t="e">
        <f>VLOOKUP(H2624,Stock_list!A:Y,25,FALSE)</f>
        <v>#N/A</v>
      </c>
      <c r="T2624" s="144"/>
      <c r="U2624" s="145" t="e">
        <f>VLOOKUP(H2624,Stock_list!A:N,14,FALSE)</f>
        <v>#N/A</v>
      </c>
    </row>
    <row r="2625" spans="1:21" ht="16.5" customHeight="1">
      <c r="A2625" s="159" t="s">
        <v>267</v>
      </c>
      <c r="B2625" s="114" t="str">
        <f>VLOOKUP(A2625,'Data pick slip'!B:F,5,FALSE)</f>
        <v>KHJ-MC600-00</v>
      </c>
      <c r="F2625" s="157" t="s">
        <v>290</v>
      </c>
      <c r="H2625" s="138">
        <v>1040</v>
      </c>
      <c r="I2625" s="139" t="e">
        <f>VLOOKUP(H2625,Stock_list!A:R,18,FALSE)</f>
        <v>#N/A</v>
      </c>
      <c r="J2625" s="139" t="e">
        <f>VLOOKUP(H2625,Stock_list!A:S,17,FALSE)</f>
        <v>#N/A</v>
      </c>
      <c r="K2625" s="51" t="e">
        <f>VLOOKUP(H2625,Stock_list!A:T,16,FALSE)</f>
        <v>#N/A</v>
      </c>
      <c r="L2625" s="4">
        <v>44272</v>
      </c>
      <c r="M2625" s="140">
        <v>2</v>
      </c>
      <c r="N2625" s="143"/>
      <c r="P2625" s="4" t="e">
        <f>VLOOKUP(H2625,Stock_list!A:Y,25,FALSE)</f>
        <v>#N/A</v>
      </c>
      <c r="T2625" s="144"/>
      <c r="U2625" s="145" t="e">
        <f>VLOOKUP(H2625,Stock_list!A:N,14,FALSE)</f>
        <v>#N/A</v>
      </c>
    </row>
    <row r="2626" spans="1:21" ht="16.5" customHeight="1">
      <c r="A2626" s="159" t="s">
        <v>261</v>
      </c>
      <c r="B2626" s="114" t="str">
        <f>VLOOKUP(A2626,'Data pick slip'!B:F,5,FALSE)</f>
        <v>KHJ-MC100-00</v>
      </c>
      <c r="F2626" s="157" t="s">
        <v>379</v>
      </c>
      <c r="I2626" s="139" t="s">
        <v>533</v>
      </c>
      <c r="J2626" s="139" t="s">
        <v>452</v>
      </c>
      <c r="K2626" s="51" t="s">
        <v>225</v>
      </c>
      <c r="L2626" s="4">
        <v>44189</v>
      </c>
      <c r="M2626" s="140">
        <v>86</v>
      </c>
      <c r="P2626" s="4" t="s">
        <v>214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264</v>
      </c>
      <c r="B2627" s="114" t="str">
        <f>VLOOKUP(A2627,'Data pick slip'!B:F,5,FALSE)</f>
        <v>KHJ-MC200-00</v>
      </c>
      <c r="F2627" s="157" t="s">
        <v>379</v>
      </c>
      <c r="I2627" s="139" t="s">
        <v>533</v>
      </c>
      <c r="J2627" s="139" t="s">
        <v>452</v>
      </c>
      <c r="K2627" s="51" t="s">
        <v>225</v>
      </c>
      <c r="L2627" s="4">
        <v>44189</v>
      </c>
      <c r="M2627" s="140">
        <v>15</v>
      </c>
      <c r="P2627" s="4" t="s">
        <v>214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266</v>
      </c>
      <c r="B2628" s="114" t="str">
        <f>VLOOKUP(A2628,'Data pick slip'!B:F,5,FALSE)</f>
        <v>KHJ-MC500-00</v>
      </c>
      <c r="F2628" s="157" t="s">
        <v>379</v>
      </c>
      <c r="I2628" s="139" t="s">
        <v>533</v>
      </c>
      <c r="J2628" s="139" t="s">
        <v>452</v>
      </c>
      <c r="K2628" s="51" t="s">
        <v>225</v>
      </c>
      <c r="L2628" s="4">
        <v>44189</v>
      </c>
      <c r="M2628" s="140">
        <v>5</v>
      </c>
      <c r="P2628" s="4" t="s">
        <v>214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272</v>
      </c>
      <c r="B2629" s="114" t="str">
        <f>VLOOKUP(A2629,'Data pick slip'!B:F,5,FALSE)</f>
        <v>KLJ-MC100-00</v>
      </c>
      <c r="F2629" s="157" t="s">
        <v>290</v>
      </c>
      <c r="I2629" s="139" t="s">
        <v>611</v>
      </c>
      <c r="J2629" s="139" t="s">
        <v>914</v>
      </c>
      <c r="K2629" s="51" t="s">
        <v>225</v>
      </c>
      <c r="L2629" s="4">
        <v>44188</v>
      </c>
      <c r="M2629" s="140">
        <v>20</v>
      </c>
      <c r="P2629" s="4" t="s">
        <v>214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264</v>
      </c>
      <c r="B2630" s="114" t="str">
        <f>VLOOKUP(A2630,'Data pick slip'!B:F,5,FALSE)</f>
        <v>KHJ-MC200-00</v>
      </c>
      <c r="F2630" s="157" t="s">
        <v>290</v>
      </c>
      <c r="I2630" s="139" t="s">
        <v>611</v>
      </c>
      <c r="J2630" s="139" t="s">
        <v>914</v>
      </c>
      <c r="K2630" s="51" t="s">
        <v>225</v>
      </c>
      <c r="L2630" s="4">
        <v>44188</v>
      </c>
      <c r="M2630" s="140">
        <v>3</v>
      </c>
      <c r="P2630" s="4" t="s">
        <v>214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264</v>
      </c>
      <c r="B2631" s="114" t="str">
        <f>VLOOKUP(A2631,'Data pick slip'!B:F,5,FALSE)</f>
        <v>KHJ-MC200-00</v>
      </c>
      <c r="F2631" s="157" t="s">
        <v>290</v>
      </c>
      <c r="I2631" s="139" t="s">
        <v>611</v>
      </c>
      <c r="J2631" s="139" t="s">
        <v>915</v>
      </c>
      <c r="K2631" s="51" t="s">
        <v>225</v>
      </c>
      <c r="L2631" s="4" t="s">
        <v>916</v>
      </c>
      <c r="M2631" s="140">
        <v>7</v>
      </c>
      <c r="P2631" s="4" t="s">
        <v>214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</v>
      </c>
      <c r="B2632" s="114" t="str">
        <f>VLOOKUP(A2632,'Data pick slip'!B:F,5,FALSE)</f>
        <v>KLJ-MC500-00</v>
      </c>
      <c r="F2632" s="157" t="s">
        <v>290</v>
      </c>
      <c r="I2632" s="139" t="s">
        <v>617</v>
      </c>
      <c r="J2632" s="139" t="s">
        <v>917</v>
      </c>
      <c r="K2632" s="51" t="s">
        <v>225</v>
      </c>
      <c r="L2632" s="4">
        <v>44180</v>
      </c>
      <c r="M2632" s="140">
        <v>5</v>
      </c>
      <c r="P2632" s="4" t="s">
        <v>214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273</v>
      </c>
      <c r="B2633" s="114" t="str">
        <f>VLOOKUP(A2633,'Data pick slip'!B:F,5,FALSE)</f>
        <v>KLJ-MC200-00</v>
      </c>
      <c r="F2633" s="157" t="s">
        <v>290</v>
      </c>
      <c r="I2633" s="139" t="s">
        <v>617</v>
      </c>
      <c r="J2633" s="139" t="s">
        <v>917</v>
      </c>
      <c r="K2633" s="51" t="s">
        <v>225</v>
      </c>
      <c r="L2633" s="4">
        <v>44180</v>
      </c>
      <c r="M2633" s="140">
        <v>1</v>
      </c>
      <c r="P2633" s="4" t="s">
        <v>214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261</v>
      </c>
      <c r="B2634" s="114" t="str">
        <f>VLOOKUP(A2634,'Data pick slip'!B:F,5,FALSE)</f>
        <v>KHJ-MC100-00</v>
      </c>
      <c r="F2634" s="157" t="s">
        <v>290</v>
      </c>
      <c r="I2634" s="139" t="s">
        <v>617</v>
      </c>
      <c r="J2634" s="139" t="s">
        <v>918</v>
      </c>
      <c r="K2634" s="51" t="s">
        <v>225</v>
      </c>
      <c r="L2634" s="4">
        <v>44189</v>
      </c>
      <c r="M2634" s="140">
        <v>10</v>
      </c>
      <c r="P2634" s="4" t="s">
        <v>214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261</v>
      </c>
      <c r="B2635" s="114" t="str">
        <f>VLOOKUP(A2635,'Data pick slip'!B:F,5,FALSE)</f>
        <v>KHJ-MC100-00</v>
      </c>
      <c r="F2635" s="157" t="s">
        <v>290</v>
      </c>
      <c r="I2635" s="139" t="s">
        <v>371</v>
      </c>
      <c r="J2635" s="139" t="s">
        <v>919</v>
      </c>
      <c r="K2635" s="51" t="s">
        <v>225</v>
      </c>
      <c r="L2635" s="4">
        <v>44179</v>
      </c>
      <c r="M2635" s="140">
        <v>2</v>
      </c>
      <c r="P2635" s="4" t="s">
        <v>214</v>
      </c>
      <c r="Q2635" s="143"/>
      <c r="S2635" s="123" t="s">
        <v>521</v>
      </c>
      <c r="T2635" s="144" t="s">
        <v>920</v>
      </c>
      <c r="U2635" s="145" t="e">
        <f>VLOOKUP(H2635,Stock_list!A:N,14,FALSE)</f>
        <v>#N/A</v>
      </c>
    </row>
    <row r="2636" spans="1:21" ht="16.5" customHeight="1">
      <c r="A2636" s="159" t="s">
        <v>261</v>
      </c>
      <c r="B2636" s="114" t="str">
        <f>VLOOKUP(A2636,'Data pick slip'!B:F,5,FALSE)</f>
        <v>KHJ-MC100-00</v>
      </c>
      <c r="F2636" s="157" t="s">
        <v>379</v>
      </c>
      <c r="H2636" s="138">
        <v>1043</v>
      </c>
      <c r="I2636" s="139" t="e">
        <f>VLOOKUP(H2636,Stock_list!A:R,18,FALSE)</f>
        <v>#N/A</v>
      </c>
      <c r="J2636" s="139" t="e">
        <f>VLOOKUP(H2636,Stock_list!A:S,17,FALSE)</f>
        <v>#N/A</v>
      </c>
      <c r="K2636" s="51" t="e">
        <f>VLOOKUP(H2636,Stock_list!A:T,16,FALSE)</f>
        <v>#N/A</v>
      </c>
      <c r="L2636" s="4">
        <v>44217</v>
      </c>
      <c r="M2636" s="143">
        <v>42</v>
      </c>
      <c r="P2636" s="4" t="e">
        <f>VLOOKUP(H2636,Stock_list!A:Y,25,FALSE)</f>
        <v>#N/A</v>
      </c>
      <c r="T2636" s="144"/>
      <c r="U2636" s="145" t="e">
        <f>VLOOKUP(H2636,Stock_list!A:N,14,FALSE)</f>
        <v>#N/A</v>
      </c>
    </row>
    <row r="2637" spans="1:21" ht="16.5" customHeight="1">
      <c r="A2637" s="159" t="s">
        <v>265</v>
      </c>
      <c r="B2637" s="114" t="str">
        <f>VLOOKUP(A2637,'Data pick slip'!B:F,5,FALSE)</f>
        <v>KHJ-MC400-00</v>
      </c>
      <c r="F2637" s="157" t="s">
        <v>379</v>
      </c>
      <c r="H2637" s="138">
        <v>1043</v>
      </c>
      <c r="I2637" s="139" t="e">
        <f>VLOOKUP(H2637,Stock_list!A:R,18,FALSE)</f>
        <v>#N/A</v>
      </c>
      <c r="J2637" s="139" t="e">
        <f>VLOOKUP(H2637,Stock_list!A:S,17,FALSE)</f>
        <v>#N/A</v>
      </c>
      <c r="K2637" s="51" t="e">
        <f>VLOOKUP(H2637,Stock_list!A:T,16,FALSE)</f>
        <v>#N/A</v>
      </c>
      <c r="L2637" s="4">
        <v>44217</v>
      </c>
      <c r="M2637" s="143">
        <v>3</v>
      </c>
      <c r="P2637" s="4" t="e">
        <f>VLOOKUP(H2637,Stock_list!A:Y,25,FALSE)</f>
        <v>#N/A</v>
      </c>
      <c r="T2637" s="144"/>
      <c r="U2637" s="145" t="e">
        <f>VLOOKUP(H2637,Stock_list!A:N,14,FALSE)</f>
        <v>#N/A</v>
      </c>
    </row>
    <row r="2638" spans="1:21" ht="16.5" customHeight="1">
      <c r="A2638" s="159" t="s">
        <v>266</v>
      </c>
      <c r="B2638" s="114" t="str">
        <f>VLOOKUP(A2638,'Data pick slip'!B:F,5,FALSE)</f>
        <v>KHJ-MC500-00</v>
      </c>
      <c r="F2638" s="157" t="s">
        <v>379</v>
      </c>
      <c r="H2638" s="138">
        <v>1043</v>
      </c>
      <c r="I2638" s="139" t="e">
        <f>VLOOKUP(H2638,Stock_list!A:R,18,FALSE)</f>
        <v>#N/A</v>
      </c>
      <c r="J2638" s="139" t="e">
        <f>VLOOKUP(H2638,Stock_list!A:S,17,FALSE)</f>
        <v>#N/A</v>
      </c>
      <c r="K2638" s="51" t="e">
        <f>VLOOKUP(H2638,Stock_list!A:T,16,FALSE)</f>
        <v>#N/A</v>
      </c>
      <c r="L2638" s="4">
        <v>44217</v>
      </c>
      <c r="M2638" s="143">
        <v>3</v>
      </c>
      <c r="P2638" s="4" t="e">
        <f>VLOOKUP(H2638,Stock_list!A:Y,25,FALSE)</f>
        <v>#N/A</v>
      </c>
      <c r="T2638" s="144"/>
      <c r="U2638" s="145" t="e">
        <f>VLOOKUP(H2638,Stock_list!A:N,14,FALSE)</f>
        <v>#N/A</v>
      </c>
    </row>
    <row r="2639" spans="1:21" ht="16.5" customHeight="1">
      <c r="A2639" s="159" t="s">
        <v>275</v>
      </c>
      <c r="B2639" s="114" t="str">
        <f>VLOOKUP(A2639,'Data pick slip'!B:F,5,FALSE)</f>
        <v>KLJ-MC500-00</v>
      </c>
      <c r="F2639" s="157" t="s">
        <v>290</v>
      </c>
      <c r="I2639" s="139" t="s">
        <v>617</v>
      </c>
      <c r="J2639" s="139" t="s">
        <v>921</v>
      </c>
      <c r="K2639" s="51" t="s">
        <v>225</v>
      </c>
      <c r="L2639" s="4">
        <v>44165</v>
      </c>
      <c r="M2639" s="140">
        <v>2</v>
      </c>
      <c r="P2639" s="4" t="s">
        <v>214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266</v>
      </c>
      <c r="B2640" s="114" t="str">
        <f>VLOOKUP(A2640,'Data pick slip'!B:F,5,FALSE)</f>
        <v>KHJ-MC500-00</v>
      </c>
      <c r="F2640" s="157" t="s">
        <v>290</v>
      </c>
      <c r="I2640" s="139" t="s">
        <v>617</v>
      </c>
      <c r="J2640" s="139" t="s">
        <v>921</v>
      </c>
      <c r="K2640" s="51" t="s">
        <v>225</v>
      </c>
      <c r="L2640" s="4">
        <v>44165</v>
      </c>
      <c r="M2640" s="140">
        <v>1</v>
      </c>
      <c r="P2640" s="4" t="s">
        <v>214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267</v>
      </c>
      <c r="B2641" s="114" t="str">
        <f>VLOOKUP(A2641,'Data pick slip'!B:F,5,FALSE)</f>
        <v>KHJ-MC600-00</v>
      </c>
      <c r="F2641" s="157" t="s">
        <v>290</v>
      </c>
      <c r="I2641" s="139" t="s">
        <v>617</v>
      </c>
      <c r="J2641" s="139" t="s">
        <v>921</v>
      </c>
      <c r="K2641" s="51" t="s">
        <v>225</v>
      </c>
      <c r="L2641" s="4">
        <v>44165</v>
      </c>
      <c r="M2641" s="140">
        <v>1</v>
      </c>
      <c r="P2641" s="4" t="s">
        <v>214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277</v>
      </c>
      <c r="B2642" s="114" t="str">
        <f>VLOOKUP(A2642,'Data pick slip'!B:F,5,FALSE)</f>
        <v>KLJ-MC700-00</v>
      </c>
      <c r="F2642" s="157" t="s">
        <v>290</v>
      </c>
      <c r="I2642" s="139" t="s">
        <v>617</v>
      </c>
      <c r="J2642" s="139" t="s">
        <v>921</v>
      </c>
      <c r="K2642" s="51" t="s">
        <v>225</v>
      </c>
      <c r="L2642" s="4">
        <v>44165</v>
      </c>
      <c r="M2642" s="140">
        <v>1</v>
      </c>
      <c r="P2642" s="4" t="s">
        <v>214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261</v>
      </c>
      <c r="B2643" s="114" t="str">
        <f>VLOOKUP(A2643,'Data pick slip'!B:F,5,FALSE)</f>
        <v>KHJ-MC100-00</v>
      </c>
      <c r="F2643" s="157" t="s">
        <v>290</v>
      </c>
      <c r="I2643" s="139" t="s">
        <v>617</v>
      </c>
      <c r="J2643" s="139" t="s">
        <v>922</v>
      </c>
      <c r="K2643" s="51" t="s">
        <v>225</v>
      </c>
      <c r="L2643" s="4">
        <v>44169</v>
      </c>
      <c r="M2643" s="140">
        <v>50</v>
      </c>
      <c r="P2643" s="4" t="s">
        <v>214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264</v>
      </c>
      <c r="B2644" s="114" t="str">
        <f>VLOOKUP(A2644,'Data pick slip'!B:F,5,FALSE)</f>
        <v>KHJ-MC200-00</v>
      </c>
      <c r="F2644" s="157" t="s">
        <v>290</v>
      </c>
      <c r="I2644" s="139" t="s">
        <v>617</v>
      </c>
      <c r="J2644" s="139" t="s">
        <v>922</v>
      </c>
      <c r="K2644" s="51" t="s">
        <v>225</v>
      </c>
      <c r="L2644" s="4">
        <v>44201</v>
      </c>
      <c r="M2644" s="140">
        <v>10</v>
      </c>
      <c r="P2644" s="4" t="s">
        <v>214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266</v>
      </c>
      <c r="B2645" s="114" t="str">
        <f>VLOOKUP(A2645,'Data pick slip'!B:F,5,FALSE)</f>
        <v>KHJ-MC500-00</v>
      </c>
      <c r="F2645" s="157" t="s">
        <v>290</v>
      </c>
      <c r="I2645" s="139" t="s">
        <v>617</v>
      </c>
      <c r="J2645" s="139" t="s">
        <v>923</v>
      </c>
      <c r="K2645" s="51" t="s">
        <v>225</v>
      </c>
      <c r="L2645" s="4">
        <v>44179</v>
      </c>
      <c r="O2645" s="132">
        <f>5-5</f>
        <v>0</v>
      </c>
      <c r="P2645" s="4" t="s">
        <v>214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261</v>
      </c>
      <c r="B2646" s="114" t="str">
        <f>VLOOKUP(A2646,'Data pick slip'!B:F,5,FALSE)</f>
        <v>KHJ-MC100-00</v>
      </c>
      <c r="F2646" s="157" t="s">
        <v>379</v>
      </c>
      <c r="H2646" s="138">
        <v>1045</v>
      </c>
      <c r="I2646" s="139" t="e">
        <f>VLOOKUP(H2646,Stock_list!A:R,18,FALSE)</f>
        <v>#N/A</v>
      </c>
      <c r="J2646" s="139" t="e">
        <f>VLOOKUP(H2646,Stock_list!A:S,17,FALSE)</f>
        <v>#N/A</v>
      </c>
      <c r="K2646" s="51" t="e">
        <f>VLOOKUP(H2646,Stock_list!A:T,16,FALSE)</f>
        <v>#N/A</v>
      </c>
      <c r="L2646" s="4">
        <v>44232</v>
      </c>
      <c r="M2646" s="132">
        <v>17</v>
      </c>
      <c r="P2646" s="4" t="e">
        <f>VLOOKUP(H2646,Stock_list!A:Y,25,FALSE)</f>
        <v>#N/A</v>
      </c>
      <c r="Q2646" s="143"/>
      <c r="T2646" s="144"/>
      <c r="U2646" s="145" t="e">
        <f>VLOOKUP(H2646,Stock_list!A:N,14,FALSE)</f>
        <v>#N/A</v>
      </c>
    </row>
    <row r="2647" spans="1:21" ht="16.5" customHeight="1">
      <c r="A2647" s="159" t="s">
        <v>264</v>
      </c>
      <c r="B2647" s="114" t="str">
        <f>VLOOKUP(A2647,'Data pick slip'!B:F,5,FALSE)</f>
        <v>KHJ-MC200-00</v>
      </c>
      <c r="F2647" s="157" t="s">
        <v>379</v>
      </c>
      <c r="H2647" s="138">
        <v>1045</v>
      </c>
      <c r="I2647" s="139" t="e">
        <f>VLOOKUP(H2647,Stock_list!A:R,18,FALSE)</f>
        <v>#N/A</v>
      </c>
      <c r="J2647" s="139" t="e">
        <f>VLOOKUP(H2647,Stock_list!A:S,17,FALSE)</f>
        <v>#N/A</v>
      </c>
      <c r="K2647" s="51" t="e">
        <f>VLOOKUP(H2647,Stock_list!A:T,16,FALSE)</f>
        <v>#N/A</v>
      </c>
      <c r="L2647" s="4">
        <v>44232</v>
      </c>
      <c r="M2647" s="132">
        <v>3</v>
      </c>
      <c r="P2647" s="4" t="e">
        <f>VLOOKUP(H2647,Stock_list!A:Y,25,FALSE)</f>
        <v>#N/A</v>
      </c>
      <c r="Q2647" s="143"/>
      <c r="T2647" s="144"/>
      <c r="U2647" s="145" t="e">
        <f>VLOOKUP(H2647,Stock_list!A:N,14,FALSE)</f>
        <v>#N/A</v>
      </c>
    </row>
    <row r="2648" spans="1:21" ht="16.5" customHeight="1">
      <c r="A2648" s="159" t="s">
        <v>261</v>
      </c>
      <c r="B2648" s="114" t="str">
        <f>VLOOKUP(A2648,'Data pick slip'!B:F,5,FALSE)</f>
        <v>KHJ-MC100-00</v>
      </c>
      <c r="F2648" s="157" t="s">
        <v>379</v>
      </c>
      <c r="H2648" s="138">
        <v>1046</v>
      </c>
      <c r="I2648" s="139" t="e">
        <f>VLOOKUP(H2648,Stock_list!A:R,18,FALSE)</f>
        <v>#N/A</v>
      </c>
      <c r="J2648" s="139" t="e">
        <f>VLOOKUP(H2648,Stock_list!A:S,17,FALSE)</f>
        <v>#N/A</v>
      </c>
      <c r="K2648" s="51" t="e">
        <f>VLOOKUP(H2648,Stock_list!A:T,16,FALSE)</f>
        <v>#N/A</v>
      </c>
      <c r="L2648" s="4">
        <v>44288</v>
      </c>
      <c r="M2648" s="132">
        <v>120</v>
      </c>
      <c r="P2648" s="4" t="e">
        <f>VLOOKUP(H2648,Stock_list!A:Y,25,FALSE)</f>
        <v>#N/A</v>
      </c>
      <c r="Q2648" s="143"/>
      <c r="T2648" s="144"/>
      <c r="U2648" s="145" t="e">
        <f>VLOOKUP(H2648,Stock_list!A:N,14,FALSE)</f>
        <v>#N/A</v>
      </c>
    </row>
    <row r="2649" spans="1:21" ht="16.5" customHeight="1">
      <c r="A2649" s="159" t="s">
        <v>264</v>
      </c>
      <c r="B2649" s="114" t="str">
        <f>VLOOKUP(A2649,'Data pick slip'!B:F,5,FALSE)</f>
        <v>KHJ-MC200-00</v>
      </c>
      <c r="F2649" s="157" t="s">
        <v>379</v>
      </c>
      <c r="H2649" s="138">
        <v>1046</v>
      </c>
      <c r="I2649" s="139" t="e">
        <f>VLOOKUP(H2649,Stock_list!A:R,18,FALSE)</f>
        <v>#N/A</v>
      </c>
      <c r="J2649" s="139" t="e">
        <f>VLOOKUP(H2649,Stock_list!A:S,17,FALSE)</f>
        <v>#N/A</v>
      </c>
      <c r="K2649" s="51" t="e">
        <f>VLOOKUP(H2649,Stock_list!A:T,16,FALSE)</f>
        <v>#N/A</v>
      </c>
      <c r="L2649" s="4">
        <v>44288</v>
      </c>
      <c r="M2649" s="132">
        <v>15</v>
      </c>
      <c r="P2649" s="4" t="e">
        <f>VLOOKUP(H2649,Stock_list!A:Y,25,FALSE)</f>
        <v>#N/A</v>
      </c>
      <c r="Q2649" s="143"/>
      <c r="T2649" s="144"/>
      <c r="U2649" s="145" t="e">
        <f>VLOOKUP(H2649,Stock_list!A:N,14,FALSE)</f>
        <v>#N/A</v>
      </c>
    </row>
    <row r="2650" spans="1:21" ht="16.5" customHeight="1">
      <c r="A2650" s="159" t="s">
        <v>265</v>
      </c>
      <c r="B2650" s="114" t="str">
        <f>VLOOKUP(A2650,'Data pick slip'!B:F,5,FALSE)</f>
        <v>KHJ-MC400-00</v>
      </c>
      <c r="F2650" s="157" t="s">
        <v>270</v>
      </c>
      <c r="H2650" s="138">
        <v>1046</v>
      </c>
      <c r="I2650" s="139" t="e">
        <f>VLOOKUP(H2650,Stock_list!A:R,18,FALSE)</f>
        <v>#N/A</v>
      </c>
      <c r="J2650" s="139" t="e">
        <f>VLOOKUP(H2650,Stock_list!A:S,17,FALSE)</f>
        <v>#N/A</v>
      </c>
      <c r="K2650" s="51" t="e">
        <f>VLOOKUP(H2650,Stock_list!A:T,16,FALSE)</f>
        <v>#N/A</v>
      </c>
      <c r="L2650" s="4">
        <v>44288</v>
      </c>
      <c r="M2650" s="132">
        <v>10</v>
      </c>
      <c r="P2650" s="4" t="e">
        <f>VLOOKUP(H2650,Stock_list!A:Y,25,FALSE)</f>
        <v>#N/A</v>
      </c>
      <c r="Q2650" s="143"/>
      <c r="S2650" s="268" t="s">
        <v>295</v>
      </c>
      <c r="T2650" s="266" t="s">
        <v>924</v>
      </c>
      <c r="U2650" s="145" t="e">
        <f>VLOOKUP(H2650,Stock_list!A:N,14,FALSE)</f>
        <v>#N/A</v>
      </c>
    </row>
    <row r="2651" spans="1:21" ht="16.5" customHeight="1">
      <c r="A2651" s="159" t="s">
        <v>266</v>
      </c>
      <c r="B2651" s="114" t="str">
        <f>VLOOKUP(A2651,'Data pick slip'!B:F,5,FALSE)</f>
        <v>KHJ-MC500-00</v>
      </c>
      <c r="F2651" s="157" t="s">
        <v>270</v>
      </c>
      <c r="H2651" s="138">
        <v>1046</v>
      </c>
      <c r="I2651" s="139" t="e">
        <f>VLOOKUP(H2651,Stock_list!A:R,18,FALSE)</f>
        <v>#N/A</v>
      </c>
      <c r="J2651" s="139" t="e">
        <f>VLOOKUP(H2651,Stock_list!A:S,17,FALSE)</f>
        <v>#N/A</v>
      </c>
      <c r="K2651" s="51" t="e">
        <f>VLOOKUP(H2651,Stock_list!A:T,16,FALSE)</f>
        <v>#N/A</v>
      </c>
      <c r="L2651" s="4">
        <v>44288</v>
      </c>
      <c r="M2651" s="132">
        <v>8</v>
      </c>
      <c r="P2651" s="4" t="e">
        <f>VLOOKUP(H2651,Stock_list!A:Y,25,FALSE)</f>
        <v>#N/A</v>
      </c>
      <c r="Q2651" s="143"/>
      <c r="S2651" s="268" t="s">
        <v>295</v>
      </c>
      <c r="T2651" s="285" t="s">
        <v>925</v>
      </c>
      <c r="U2651" s="145" t="e">
        <f>VLOOKUP(H2651,Stock_list!A:N,14,FALSE)</f>
        <v>#N/A</v>
      </c>
    </row>
    <row r="2652" spans="1:21" ht="16.5" customHeight="1">
      <c r="A2652" s="159" t="s">
        <v>267</v>
      </c>
      <c r="B2652" s="114" t="str">
        <f>VLOOKUP(A2652,'Data pick slip'!B:F,5,FALSE)</f>
        <v>KHJ-MC600-00</v>
      </c>
      <c r="F2652" s="157" t="s">
        <v>379</v>
      </c>
      <c r="H2652" s="138">
        <v>1046</v>
      </c>
      <c r="I2652" s="139" t="e">
        <f>VLOOKUP(H2652,Stock_list!A:R,18,FALSE)</f>
        <v>#N/A</v>
      </c>
      <c r="J2652" s="139" t="e">
        <f>VLOOKUP(H2652,Stock_list!A:S,17,FALSE)</f>
        <v>#N/A</v>
      </c>
      <c r="K2652" s="51" t="e">
        <f>VLOOKUP(H2652,Stock_list!A:T,16,FALSE)</f>
        <v>#N/A</v>
      </c>
      <c r="L2652" s="4">
        <v>44288</v>
      </c>
      <c r="M2652" s="140">
        <v>2</v>
      </c>
      <c r="P2652" s="4" t="e">
        <f>VLOOKUP(H2652,Stock_list!A:Y,25,FALSE)</f>
        <v>#N/A</v>
      </c>
      <c r="Q2652" s="143"/>
      <c r="T2652" s="144"/>
      <c r="U2652" s="145" t="e">
        <f>VLOOKUP(H2652,Stock_list!A:N,14,FALSE)</f>
        <v>#N/A</v>
      </c>
    </row>
    <row r="2653" spans="1:21" ht="16.5" customHeight="1">
      <c r="A2653" s="159" t="s">
        <v>261</v>
      </c>
      <c r="B2653" s="114" t="str">
        <f>VLOOKUP(A2653,'Data pick slip'!B:F,5,FALSE)</f>
        <v>KHJ-MC100-00</v>
      </c>
      <c r="F2653" s="157" t="s">
        <v>227</v>
      </c>
      <c r="H2653" s="138">
        <v>1056</v>
      </c>
      <c r="I2653" s="139" t="e">
        <f>VLOOKUP(H2653,Stock_list!A:R,18,FALSE)</f>
        <v>#N/A</v>
      </c>
      <c r="J2653" s="139" t="e">
        <f>VLOOKUP(H2653,Stock_list!A:S,17,FALSE)</f>
        <v>#N/A</v>
      </c>
      <c r="K2653" s="51" t="e">
        <f>VLOOKUP(H2653,Stock_list!A:T,16,FALSE)</f>
        <v>#N/A</v>
      </c>
      <c r="L2653" s="4">
        <v>44259</v>
      </c>
      <c r="M2653" s="143">
        <v>23</v>
      </c>
      <c r="P2653" s="4" t="e">
        <f>VLOOKUP(H2653,Stock_list!A:Y,25,FALSE)</f>
        <v>#N/A</v>
      </c>
      <c r="T2653" s="144"/>
      <c r="U2653" s="145" t="e">
        <f>VLOOKUP(H2653,Stock_list!A:N,14,FALSE)</f>
        <v>#N/A</v>
      </c>
    </row>
    <row r="2654" spans="1:21" ht="16.5" customHeight="1">
      <c r="A2654" s="159" t="s">
        <v>264</v>
      </c>
      <c r="B2654" s="114" t="str">
        <f>VLOOKUP(A2654,'Data pick slip'!B:F,5,FALSE)</f>
        <v>KHJ-MC200-00</v>
      </c>
      <c r="F2654" s="157" t="s">
        <v>227</v>
      </c>
      <c r="H2654" s="138">
        <v>1056</v>
      </c>
      <c r="I2654" s="139" t="e">
        <f>VLOOKUP(H2654,Stock_list!A:R,18,FALSE)</f>
        <v>#N/A</v>
      </c>
      <c r="J2654" s="139" t="e">
        <f>VLOOKUP(H2654,Stock_list!A:S,17,FALSE)</f>
        <v>#N/A</v>
      </c>
      <c r="K2654" s="51" t="e">
        <f>VLOOKUP(H2654,Stock_list!A:T,16,FALSE)</f>
        <v>#N/A</v>
      </c>
      <c r="L2654" s="4">
        <v>44259</v>
      </c>
      <c r="M2654" s="143">
        <v>4</v>
      </c>
      <c r="P2654" s="4" t="e">
        <f>VLOOKUP(H2654,Stock_list!A:Y,25,FALSE)</f>
        <v>#N/A</v>
      </c>
      <c r="T2654" s="144"/>
      <c r="U2654" s="145" t="e">
        <f>VLOOKUP(H2654,Stock_list!A:N,14,FALSE)</f>
        <v>#N/A</v>
      </c>
    </row>
    <row r="2655" spans="1:21" ht="16.5" customHeight="1">
      <c r="A2655" s="159" t="s">
        <v>265</v>
      </c>
      <c r="B2655" s="114" t="str">
        <f>VLOOKUP(A2655,'Data pick slip'!B:F,5,FALSE)</f>
        <v>KHJ-MC400-00</v>
      </c>
      <c r="F2655" s="157" t="s">
        <v>227</v>
      </c>
      <c r="H2655" s="138">
        <v>1056</v>
      </c>
      <c r="I2655" s="139" t="e">
        <f>VLOOKUP(H2655,Stock_list!A:R,18,FALSE)</f>
        <v>#N/A</v>
      </c>
      <c r="J2655" s="139" t="e">
        <f>VLOOKUP(H2655,Stock_list!A:S,17,FALSE)</f>
        <v>#N/A</v>
      </c>
      <c r="K2655" s="51" t="e">
        <f>VLOOKUP(H2655,Stock_list!A:T,16,FALSE)</f>
        <v>#N/A</v>
      </c>
      <c r="L2655" s="4">
        <v>44259</v>
      </c>
      <c r="M2655" s="143">
        <v>2</v>
      </c>
      <c r="P2655" s="4" t="e">
        <f>VLOOKUP(H2655,Stock_list!A:Y,25,FALSE)</f>
        <v>#N/A</v>
      </c>
      <c r="T2655" s="144"/>
      <c r="U2655" s="145" t="e">
        <f>VLOOKUP(H2655,Stock_list!A:N,14,FALSE)</f>
        <v>#N/A</v>
      </c>
    </row>
    <row r="2656" spans="1:21" ht="16.5" customHeight="1">
      <c r="A2656" s="159" t="s">
        <v>261</v>
      </c>
      <c r="B2656" s="114" t="str">
        <f>VLOOKUP(A2656,'Data pick slip'!B:F,5,FALSE)</f>
        <v>KHJ-MC100-00</v>
      </c>
      <c r="F2656" s="157" t="s">
        <v>227</v>
      </c>
      <c r="H2656" s="138">
        <v>1058</v>
      </c>
      <c r="I2656" s="139" t="e">
        <f>VLOOKUP(H2656,Stock_list!A:R,18,FALSE)</f>
        <v>#N/A</v>
      </c>
      <c r="J2656" s="139" t="e">
        <f>VLOOKUP(H2656,Stock_list!A:S,17,FALSE)</f>
        <v>#N/A</v>
      </c>
      <c r="K2656" s="51" t="e">
        <f>VLOOKUP(H2656,Stock_list!A:T,16,FALSE)</f>
        <v>#N/A</v>
      </c>
      <c r="L2656" s="4">
        <v>44309</v>
      </c>
      <c r="M2656" s="140">
        <v>30</v>
      </c>
      <c r="N2656" s="143"/>
      <c r="P2656" s="4" t="e">
        <f>VLOOKUP(H2656,Stock_list!A:Y,25,FALSE)</f>
        <v>#N/A</v>
      </c>
      <c r="T2656" s="144"/>
      <c r="U2656" s="145" t="e">
        <f>VLOOKUP(H2656,Stock_list!A:N,14,FALSE)</f>
        <v>#N/A</v>
      </c>
    </row>
    <row r="2657" spans="1:21" ht="16.5" customHeight="1">
      <c r="A2657" s="159" t="s">
        <v>264</v>
      </c>
      <c r="B2657" s="114" t="str">
        <f>VLOOKUP(A2657,'Data pick slip'!B:F,5,FALSE)</f>
        <v>KHJ-MC200-00</v>
      </c>
      <c r="F2657" s="157" t="s">
        <v>227</v>
      </c>
      <c r="H2657" s="138">
        <v>1058</v>
      </c>
      <c r="I2657" s="139" t="e">
        <f>VLOOKUP(H2657,Stock_list!A:R,18,FALSE)</f>
        <v>#N/A</v>
      </c>
      <c r="J2657" s="139" t="e">
        <f>VLOOKUP(H2657,Stock_list!A:S,17,FALSE)</f>
        <v>#N/A</v>
      </c>
      <c r="K2657" s="51" t="e">
        <f>VLOOKUP(H2657,Stock_list!A:T,16,FALSE)</f>
        <v>#N/A</v>
      </c>
      <c r="L2657" s="4">
        <v>44309</v>
      </c>
      <c r="M2657" s="140">
        <v>5</v>
      </c>
      <c r="N2657" s="143"/>
      <c r="P2657" s="4" t="e">
        <f>VLOOKUP(H2657,Stock_list!A:Y,25,FALSE)</f>
        <v>#N/A</v>
      </c>
      <c r="T2657" s="144"/>
      <c r="U2657" s="145" t="e">
        <f>VLOOKUP(H2657,Stock_list!A:N,14,FALSE)</f>
        <v>#N/A</v>
      </c>
    </row>
    <row r="2658" spans="1:21" ht="16.5" customHeight="1">
      <c r="A2658" s="159" t="s">
        <v>277</v>
      </c>
      <c r="B2658" s="114" t="str">
        <f>VLOOKUP(A2658,'Data pick slip'!B:F,5,FALSE)</f>
        <v>KLJ-MC700-00</v>
      </c>
      <c r="F2658" s="157" t="s">
        <v>290</v>
      </c>
      <c r="I2658" s="139" t="s">
        <v>611</v>
      </c>
      <c r="J2658" s="139" t="s">
        <v>926</v>
      </c>
      <c r="K2658" s="51" t="s">
        <v>225</v>
      </c>
      <c r="L2658" s="4">
        <v>44201</v>
      </c>
      <c r="M2658" s="140">
        <v>1</v>
      </c>
      <c r="P2658" s="4" t="s">
        <v>214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274</v>
      </c>
      <c r="B2659" s="114" t="str">
        <f>VLOOKUP(A2659,'Data pick slip'!B:F,5,FALSE)</f>
        <v>KLJ-MC400-00</v>
      </c>
      <c r="F2659" s="157" t="s">
        <v>290</v>
      </c>
      <c r="I2659" s="139" t="s">
        <v>617</v>
      </c>
      <c r="J2659" s="139" t="s">
        <v>927</v>
      </c>
      <c r="K2659" s="51" t="s">
        <v>225</v>
      </c>
      <c r="L2659" s="4">
        <v>44200</v>
      </c>
      <c r="M2659" s="140">
        <v>1</v>
      </c>
      <c r="P2659" s="4" t="s">
        <v>214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273</v>
      </c>
      <c r="B2660" s="114" t="str">
        <f>VLOOKUP(A2660,'Data pick slip'!B:F,5,FALSE)</f>
        <v>KLJ-MC200-00</v>
      </c>
      <c r="F2660" s="157" t="s">
        <v>290</v>
      </c>
      <c r="I2660" s="139" t="s">
        <v>617</v>
      </c>
      <c r="J2660" s="139" t="s">
        <v>927</v>
      </c>
      <c r="K2660" s="51" t="s">
        <v>225</v>
      </c>
      <c r="L2660" s="4">
        <v>44200</v>
      </c>
      <c r="M2660" s="140">
        <v>4</v>
      </c>
      <c r="P2660" s="4" t="s">
        <v>214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261</v>
      </c>
      <c r="B2661" s="114" t="str">
        <f>VLOOKUP(A2661,'Data pick slip'!B:F,5,FALSE)</f>
        <v>KHJ-MC100-00</v>
      </c>
      <c r="F2661" s="157" t="s">
        <v>227</v>
      </c>
      <c r="H2661" s="138">
        <v>1057</v>
      </c>
      <c r="I2661" s="139" t="e">
        <f>VLOOKUP(H2661,Stock_list!A:R,18,FALSE)</f>
        <v>#N/A</v>
      </c>
      <c r="J2661" s="139" t="e">
        <f>VLOOKUP(H2661,Stock_list!A:S,17,FALSE)</f>
        <v>#N/A</v>
      </c>
      <c r="K2661" s="51" t="e">
        <f>VLOOKUP(H2661,Stock_list!A:T,16,FALSE)</f>
        <v>#N/A</v>
      </c>
      <c r="L2661" s="4">
        <v>44294</v>
      </c>
      <c r="M2661" s="132">
        <v>6</v>
      </c>
      <c r="P2661" s="4" t="e">
        <f>VLOOKUP(H2661,Stock_list!A:Y,25,FALSE)</f>
        <v>#N/A</v>
      </c>
      <c r="Q2661" s="143"/>
      <c r="T2661" s="144"/>
      <c r="U2661" s="145" t="e">
        <f>VLOOKUP(H2661,Stock_list!A:N,14,FALSE)</f>
        <v>#N/A</v>
      </c>
    </row>
    <row r="2662" spans="1:21">
      <c r="A2662" s="159" t="s">
        <v>261</v>
      </c>
      <c r="B2662" s="114" t="str">
        <f>VLOOKUP(A2662,'Data pick slip'!B:F,5,FALSE)</f>
        <v>KHJ-MC100-00</v>
      </c>
      <c r="F2662" s="157" t="s">
        <v>379</v>
      </c>
      <c r="H2662" s="138">
        <v>1044</v>
      </c>
      <c r="I2662" s="139" t="e">
        <f>VLOOKUP(H2662,Stock_list!A:R,18,FALSE)</f>
        <v>#N/A</v>
      </c>
      <c r="J2662" s="139" t="e">
        <f>VLOOKUP(H2662,Stock_list!A:S,17,FALSE)</f>
        <v>#N/A</v>
      </c>
      <c r="K2662" s="51" t="e">
        <f>VLOOKUP(H2662,Stock_list!A:T,16,FALSE)</f>
        <v>#N/A</v>
      </c>
      <c r="L2662" s="141">
        <v>44299</v>
      </c>
      <c r="M2662" s="132">
        <v>32</v>
      </c>
      <c r="P2662" s="4" t="e">
        <f>VLOOKUP(H2662,Stock_list!A:Y,25,FALSE)</f>
        <v>#N/A</v>
      </c>
      <c r="U2662" s="145" t="e">
        <f>VLOOKUP(H2662,Stock_list!A:N,14,FALSE)</f>
        <v>#N/A</v>
      </c>
    </row>
    <row r="2663" spans="1:21">
      <c r="A2663" s="159" t="s">
        <v>264</v>
      </c>
      <c r="B2663" s="114" t="str">
        <f>VLOOKUP(A2663,'Data pick slip'!B:F,5,FALSE)</f>
        <v>KHJ-MC200-00</v>
      </c>
      <c r="F2663" s="157" t="s">
        <v>379</v>
      </c>
      <c r="H2663" s="138">
        <v>1044</v>
      </c>
      <c r="I2663" s="139" t="e">
        <f>VLOOKUP(H2663,Stock_list!A:R,18,FALSE)</f>
        <v>#N/A</v>
      </c>
      <c r="J2663" s="139" t="e">
        <f>VLOOKUP(H2663,Stock_list!A:S,17,FALSE)</f>
        <v>#N/A</v>
      </c>
      <c r="K2663" s="51" t="e">
        <f>VLOOKUP(H2663,Stock_list!A:T,16,FALSE)</f>
        <v>#N/A</v>
      </c>
      <c r="L2663" s="141">
        <v>44299</v>
      </c>
      <c r="M2663" s="132">
        <v>5</v>
      </c>
      <c r="P2663" s="4" t="e">
        <f>VLOOKUP(H2663,Stock_list!A:Y,25,FALSE)</f>
        <v>#N/A</v>
      </c>
      <c r="U2663" s="145" t="e">
        <f>VLOOKUP(H2663,Stock_list!A:N,14,FALSE)</f>
        <v>#N/A</v>
      </c>
    </row>
    <row r="2664" spans="1:21" ht="16.5" customHeight="1">
      <c r="A2664" s="159" t="s">
        <v>273</v>
      </c>
      <c r="B2664" s="114" t="str">
        <f>VLOOKUP(A2664,'Data pick slip'!B:F,5,FALSE)</f>
        <v>KLJ-MC200-00</v>
      </c>
      <c r="F2664" s="157" t="s">
        <v>270</v>
      </c>
      <c r="I2664" s="139" t="s">
        <v>617</v>
      </c>
      <c r="J2664" s="139" t="s">
        <v>928</v>
      </c>
      <c r="K2664" s="51" t="s">
        <v>225</v>
      </c>
      <c r="L2664" s="4">
        <v>44195</v>
      </c>
      <c r="M2664" s="140">
        <v>5</v>
      </c>
      <c r="P2664" s="4" t="s">
        <v>214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261</v>
      </c>
      <c r="B2665" s="114" t="str">
        <f>VLOOKUP(A2665,'Data pick slip'!B:F,5,FALSE)</f>
        <v>KHJ-MC100-00</v>
      </c>
      <c r="F2665" s="157" t="s">
        <v>227</v>
      </c>
      <c r="H2665" s="138">
        <v>1059</v>
      </c>
      <c r="I2665" s="139" t="e">
        <f>VLOOKUP(H2665,Stock_list!A:R,18,FALSE)</f>
        <v>#N/A</v>
      </c>
      <c r="J2665" s="139" t="e">
        <f>VLOOKUP(H2665,Stock_list!A:S,17,FALSE)</f>
        <v>#N/A</v>
      </c>
      <c r="K2665" s="51" t="e">
        <f>VLOOKUP(H2665,Stock_list!A:T,16,FALSE)</f>
        <v>#N/A</v>
      </c>
      <c r="L2665" s="4">
        <v>44295</v>
      </c>
      <c r="M2665" s="132">
        <v>25</v>
      </c>
      <c r="P2665" s="4" t="e">
        <f>VLOOKUP(H2665,Stock_list!A:Y,25,FALSE)</f>
        <v>#N/A</v>
      </c>
      <c r="Q2665" s="143"/>
      <c r="T2665" s="144"/>
      <c r="U2665" s="145" t="e">
        <f>VLOOKUP(H2665,Stock_list!A:N,14,FALSE)</f>
        <v>#N/A</v>
      </c>
    </row>
    <row r="2666" spans="1:21" ht="16.5" customHeight="1">
      <c r="A2666" s="159" t="s">
        <v>264</v>
      </c>
      <c r="B2666" s="114" t="str">
        <f>VLOOKUP(A2666,'Data pick slip'!B:F,5,FALSE)</f>
        <v>KHJ-MC200-00</v>
      </c>
      <c r="F2666" s="157" t="s">
        <v>227</v>
      </c>
      <c r="H2666" s="138">
        <v>1059</v>
      </c>
      <c r="I2666" s="139" t="e">
        <f>VLOOKUP(H2666,Stock_list!A:R,18,FALSE)</f>
        <v>#N/A</v>
      </c>
      <c r="J2666" s="139" t="e">
        <f>VLOOKUP(H2666,Stock_list!A:S,17,FALSE)</f>
        <v>#N/A</v>
      </c>
      <c r="K2666" s="51" t="e">
        <f>VLOOKUP(H2666,Stock_list!A:T,16,FALSE)</f>
        <v>#N/A</v>
      </c>
      <c r="L2666" s="4">
        <v>44295</v>
      </c>
      <c r="M2666" s="132">
        <v>8</v>
      </c>
      <c r="P2666" s="4" t="e">
        <f>VLOOKUP(H2666,Stock_list!A:Y,25,FALSE)</f>
        <v>#N/A</v>
      </c>
      <c r="Q2666" s="143"/>
      <c r="T2666" s="144"/>
      <c r="U2666" s="145" t="e">
        <f>VLOOKUP(H2666,Stock_list!A:N,14,FALSE)</f>
        <v>#N/A</v>
      </c>
    </row>
    <row r="2667" spans="1:21" ht="16.5" customHeight="1">
      <c r="A2667" s="159" t="s">
        <v>265</v>
      </c>
      <c r="B2667" s="114" t="str">
        <f>VLOOKUP(A2667,'Data pick slip'!B:F,5,FALSE)</f>
        <v>KHJ-MC400-00</v>
      </c>
      <c r="F2667" s="157" t="s">
        <v>270</v>
      </c>
      <c r="H2667" s="138">
        <v>1059</v>
      </c>
      <c r="I2667" s="139" t="e">
        <f>VLOOKUP(H2667,Stock_list!A:R,18,FALSE)</f>
        <v>#N/A</v>
      </c>
      <c r="J2667" s="139" t="e">
        <f>VLOOKUP(H2667,Stock_list!A:S,17,FALSE)</f>
        <v>#N/A</v>
      </c>
      <c r="K2667" s="51" t="e">
        <f>VLOOKUP(H2667,Stock_list!A:T,16,FALSE)</f>
        <v>#N/A</v>
      </c>
      <c r="L2667" s="4">
        <v>44295</v>
      </c>
      <c r="M2667" s="132">
        <v>2</v>
      </c>
      <c r="P2667" s="4" t="e">
        <f>VLOOKUP(H2667,Stock_list!A:Y,25,FALSE)</f>
        <v>#N/A</v>
      </c>
      <c r="Q2667" s="143"/>
      <c r="S2667" s="123" t="s">
        <v>521</v>
      </c>
      <c r="T2667" s="285" t="s">
        <v>929</v>
      </c>
      <c r="U2667" s="145" t="e">
        <f>VLOOKUP(H2667,Stock_list!A:N,14,FALSE)</f>
        <v>#N/A</v>
      </c>
    </row>
    <row r="2668" spans="1:21" ht="16.5" customHeight="1">
      <c r="A2668" s="159" t="s">
        <v>261</v>
      </c>
      <c r="B2668" s="114" t="str">
        <f>VLOOKUP(A2668,'Data pick slip'!B:F,5,FALSE)</f>
        <v>KHJ-MC100-00</v>
      </c>
      <c r="F2668" s="157" t="s">
        <v>270</v>
      </c>
      <c r="H2668" s="138">
        <v>1061</v>
      </c>
      <c r="I2668" s="139" t="e">
        <f>VLOOKUP(H2668,Stock_list!A:R,18,FALSE)</f>
        <v>#N/A</v>
      </c>
      <c r="J2668" s="139" t="e">
        <f>VLOOKUP(H2668,Stock_list!A:S,17,FALSE)</f>
        <v>#N/A</v>
      </c>
      <c r="K2668" s="51" t="e">
        <f>VLOOKUP(H2668,Stock_list!A:T,16,FALSE)</f>
        <v>#N/A</v>
      </c>
      <c r="L2668" s="4">
        <v>44313</v>
      </c>
      <c r="M2668" s="132">
        <v>90</v>
      </c>
      <c r="P2668" s="4" t="e">
        <f>VLOOKUP(H2668,Stock_list!A:Y,25,FALSE)</f>
        <v>#N/A</v>
      </c>
      <c r="T2668" s="144"/>
      <c r="U2668" s="145" t="e">
        <f>VLOOKUP(H2668,Stock_list!A:N,14,FALSE)</f>
        <v>#N/A</v>
      </c>
    </row>
    <row r="2669" spans="1:21" ht="16.5" customHeight="1">
      <c r="A2669" s="159" t="s">
        <v>264</v>
      </c>
      <c r="B2669" s="114" t="str">
        <f>VLOOKUP(A2669,'Data pick slip'!B:F,5,FALSE)</f>
        <v>KHJ-MC200-00</v>
      </c>
      <c r="F2669" s="157" t="s">
        <v>270</v>
      </c>
      <c r="H2669" s="138">
        <v>1061</v>
      </c>
      <c r="I2669" s="139" t="e">
        <f>VLOOKUP(H2669,Stock_list!A:R,18,FALSE)</f>
        <v>#N/A</v>
      </c>
      <c r="J2669" s="139" t="e">
        <f>VLOOKUP(H2669,Stock_list!A:S,17,FALSE)</f>
        <v>#N/A</v>
      </c>
      <c r="K2669" s="51" t="e">
        <f>VLOOKUP(H2669,Stock_list!A:T,16,FALSE)</f>
        <v>#N/A</v>
      </c>
      <c r="L2669" s="4">
        <v>44313</v>
      </c>
      <c r="M2669" s="132">
        <v>30</v>
      </c>
      <c r="P2669" s="4" t="e">
        <f>VLOOKUP(H2669,Stock_list!A:Y,25,FALSE)</f>
        <v>#N/A</v>
      </c>
      <c r="T2669" s="144"/>
      <c r="U2669" s="145" t="e">
        <f>VLOOKUP(H2669,Stock_list!A:N,14,FALSE)</f>
        <v>#N/A</v>
      </c>
    </row>
    <row r="2670" spans="1:21" ht="16.5" customHeight="1">
      <c r="A2670" s="159" t="s">
        <v>261</v>
      </c>
      <c r="B2670" s="114" t="str">
        <f>VLOOKUP(A2670,'Data pick slip'!B:F,5,FALSE)</f>
        <v>KHJ-MC100-00</v>
      </c>
      <c r="F2670" s="157" t="s">
        <v>227</v>
      </c>
      <c r="H2670" s="138">
        <v>1067</v>
      </c>
      <c r="I2670" s="139" t="e">
        <f>VLOOKUP(H2670,Stock_list!A:R,18,FALSE)</f>
        <v>#N/A</v>
      </c>
      <c r="J2670" s="139" t="e">
        <f>VLOOKUP(H2670,Stock_list!A:S,17,FALSE)</f>
        <v>#N/A</v>
      </c>
      <c r="K2670" s="51" t="e">
        <f>VLOOKUP(H2670,Stock_list!A:T,16,FALSE)</f>
        <v>#N/A</v>
      </c>
      <c r="L2670" s="4">
        <v>44336</v>
      </c>
      <c r="M2670" s="132">
        <v>45</v>
      </c>
      <c r="P2670" s="4" t="e">
        <f>VLOOKUP(H2670,Stock_list!A:Y,25,FALSE)</f>
        <v>#N/A</v>
      </c>
      <c r="T2670" s="144"/>
      <c r="U2670" s="145" t="e">
        <f>VLOOKUP(H2670,Stock_list!A:N,14,FALSE)</f>
        <v>#N/A</v>
      </c>
    </row>
    <row r="2671" spans="1:21" ht="16.5" customHeight="1">
      <c r="A2671" s="159" t="s">
        <v>264</v>
      </c>
      <c r="B2671" s="114" t="str">
        <f>VLOOKUP(A2671,'Data pick slip'!B:F,5,FALSE)</f>
        <v>KHJ-MC200-00</v>
      </c>
      <c r="F2671" s="157" t="s">
        <v>227</v>
      </c>
      <c r="H2671" s="138">
        <v>1067</v>
      </c>
      <c r="I2671" s="139" t="e">
        <f>VLOOKUP(H2671,Stock_list!A:R,18,FALSE)</f>
        <v>#N/A</v>
      </c>
      <c r="J2671" s="139" t="e">
        <f>VLOOKUP(H2671,Stock_list!A:S,17,FALSE)</f>
        <v>#N/A</v>
      </c>
      <c r="K2671" s="51" t="e">
        <f>VLOOKUP(H2671,Stock_list!A:T,16,FALSE)</f>
        <v>#N/A</v>
      </c>
      <c r="L2671" s="4">
        <v>44336</v>
      </c>
      <c r="M2671" s="132">
        <v>10</v>
      </c>
      <c r="P2671" s="4" t="e">
        <f>VLOOKUP(H2671,Stock_list!A:Y,25,FALSE)</f>
        <v>#N/A</v>
      </c>
      <c r="T2671" s="144"/>
      <c r="U2671" s="145" t="e">
        <f>VLOOKUP(H2671,Stock_list!A:N,14,FALSE)</f>
        <v>#N/A</v>
      </c>
    </row>
    <row r="2672" spans="1:21" ht="16.5" customHeight="1">
      <c r="A2672" s="159" t="s">
        <v>265</v>
      </c>
      <c r="B2672" s="114" t="str">
        <f>VLOOKUP(A2672,'Data pick slip'!B:F,5,FALSE)</f>
        <v>KHJ-MC400-00</v>
      </c>
      <c r="F2672" s="157" t="s">
        <v>227</v>
      </c>
      <c r="H2672" s="138">
        <v>1067</v>
      </c>
      <c r="I2672" s="139" t="e">
        <f>VLOOKUP(H2672,Stock_list!A:R,18,FALSE)</f>
        <v>#N/A</v>
      </c>
      <c r="J2672" s="139" t="e">
        <f>VLOOKUP(H2672,Stock_list!A:S,17,FALSE)</f>
        <v>#N/A</v>
      </c>
      <c r="K2672" s="51" t="e">
        <f>VLOOKUP(H2672,Stock_list!A:T,16,FALSE)</f>
        <v>#N/A</v>
      </c>
      <c r="L2672" s="4">
        <v>44336</v>
      </c>
      <c r="M2672" s="132">
        <v>2</v>
      </c>
      <c r="P2672" s="4" t="e">
        <f>VLOOKUP(H2672,Stock_list!A:Y,25,FALSE)</f>
        <v>#N/A</v>
      </c>
      <c r="T2672" s="144"/>
      <c r="U2672" s="145" t="e">
        <f>VLOOKUP(H2672,Stock_list!A:N,14,FALSE)</f>
        <v>#N/A</v>
      </c>
    </row>
    <row r="2673" spans="1:21" ht="16.5" customHeight="1">
      <c r="A2673" s="159" t="s">
        <v>261</v>
      </c>
      <c r="B2673" s="114" t="str">
        <f>VLOOKUP(A2673,'Data pick slip'!B:F,5,FALSE)</f>
        <v>KHJ-MC100-00</v>
      </c>
      <c r="F2673" s="157" t="s">
        <v>227</v>
      </c>
      <c r="H2673" s="138">
        <v>1071</v>
      </c>
      <c r="I2673" s="139" t="e">
        <f>VLOOKUP(H2673,Stock_list!A:R,18,FALSE)</f>
        <v>#N/A</v>
      </c>
      <c r="J2673" s="139" t="e">
        <f>VLOOKUP(H2673,Stock_list!A:S,17,FALSE)</f>
        <v>#N/A</v>
      </c>
      <c r="K2673" s="51" t="e">
        <f>VLOOKUP(H2673,Stock_list!A:T,16,FALSE)</f>
        <v>#N/A</v>
      </c>
      <c r="L2673" s="4">
        <v>44334</v>
      </c>
      <c r="M2673" s="132">
        <v>120</v>
      </c>
      <c r="P2673" s="4" t="e">
        <f>VLOOKUP(H2673,Stock_list!A:Y,25,FALSE)</f>
        <v>#N/A</v>
      </c>
      <c r="T2673" s="144"/>
      <c r="U2673" s="145" t="e">
        <f>VLOOKUP(H2673,Stock_list!A:N,14,FALSE)</f>
        <v>#N/A</v>
      </c>
    </row>
    <row r="2674" spans="1:21" ht="16.5" customHeight="1">
      <c r="A2674" s="159" t="s">
        <v>264</v>
      </c>
      <c r="B2674" s="114" t="str">
        <f>VLOOKUP(A2674,'Data pick slip'!B:F,5,FALSE)</f>
        <v>KHJ-MC200-00</v>
      </c>
      <c r="F2674" s="157" t="s">
        <v>227</v>
      </c>
      <c r="H2674" s="138">
        <v>1071</v>
      </c>
      <c r="I2674" s="139" t="e">
        <f>VLOOKUP(H2674,Stock_list!A:R,18,FALSE)</f>
        <v>#N/A</v>
      </c>
      <c r="J2674" s="139" t="e">
        <f>VLOOKUP(H2674,Stock_list!A:S,17,FALSE)</f>
        <v>#N/A</v>
      </c>
      <c r="K2674" s="51" t="e">
        <f>VLOOKUP(H2674,Stock_list!A:T,16,FALSE)</f>
        <v>#N/A</v>
      </c>
      <c r="L2674" s="4">
        <v>44334</v>
      </c>
      <c r="M2674" s="132">
        <v>25</v>
      </c>
      <c r="P2674" s="4" t="e">
        <f>VLOOKUP(H2674,Stock_list!A:Y,25,FALSE)</f>
        <v>#N/A</v>
      </c>
      <c r="T2674" s="144"/>
      <c r="U2674" s="145" t="e">
        <f>VLOOKUP(H2674,Stock_list!A:N,14,FALSE)</f>
        <v>#N/A</v>
      </c>
    </row>
    <row r="2675" spans="1:21" ht="16.5" customHeight="1">
      <c r="A2675" s="159" t="s">
        <v>265</v>
      </c>
      <c r="B2675" s="114" t="str">
        <f>VLOOKUP(A2675,'Data pick slip'!B:F,5,FALSE)</f>
        <v>KHJ-MC400-00</v>
      </c>
      <c r="F2675" s="157" t="s">
        <v>227</v>
      </c>
      <c r="H2675" s="138">
        <v>1071</v>
      </c>
      <c r="I2675" s="139" t="e">
        <f>VLOOKUP(H2675,Stock_list!A:R,18,FALSE)</f>
        <v>#N/A</v>
      </c>
      <c r="J2675" s="139" t="e">
        <f>VLOOKUP(H2675,Stock_list!A:S,17,FALSE)</f>
        <v>#N/A</v>
      </c>
      <c r="K2675" s="51" t="e">
        <f>VLOOKUP(H2675,Stock_list!A:T,16,FALSE)</f>
        <v>#N/A</v>
      </c>
      <c r="L2675" s="4">
        <v>44334</v>
      </c>
      <c r="M2675" s="132">
        <v>6</v>
      </c>
      <c r="P2675" s="4" t="e">
        <f>VLOOKUP(H2675,Stock_list!A:Y,25,FALSE)</f>
        <v>#N/A</v>
      </c>
      <c r="T2675" s="144"/>
      <c r="U2675" s="145" t="e">
        <f>VLOOKUP(H2675,Stock_list!A:N,14,FALSE)</f>
        <v>#N/A</v>
      </c>
    </row>
    <row r="2676" spans="1:21" ht="16.5" customHeight="1">
      <c r="A2676" s="159" t="s">
        <v>266</v>
      </c>
      <c r="B2676" s="114" t="str">
        <f>VLOOKUP(A2676,'Data pick slip'!B:F,5,FALSE)</f>
        <v>KHJ-MC500-00</v>
      </c>
      <c r="F2676" s="157" t="s">
        <v>227</v>
      </c>
      <c r="H2676" s="138">
        <v>1071</v>
      </c>
      <c r="I2676" s="139" t="e">
        <f>VLOOKUP(H2676,Stock_list!A:R,18,FALSE)</f>
        <v>#N/A</v>
      </c>
      <c r="J2676" s="139" t="e">
        <f>VLOOKUP(H2676,Stock_list!A:S,17,FALSE)</f>
        <v>#N/A</v>
      </c>
      <c r="K2676" s="51" t="e">
        <f>VLOOKUP(H2676,Stock_list!A:T,16,FALSE)</f>
        <v>#N/A</v>
      </c>
      <c r="L2676" s="4">
        <v>44334</v>
      </c>
      <c r="M2676" s="132">
        <v>3</v>
      </c>
      <c r="P2676" s="4" t="e">
        <f>VLOOKUP(H2676,Stock_list!A:Y,25,FALSE)</f>
        <v>#N/A</v>
      </c>
      <c r="T2676" s="144"/>
      <c r="U2676" s="145" t="e">
        <f>VLOOKUP(H2676,Stock_list!A:N,14,FALSE)</f>
        <v>#N/A</v>
      </c>
    </row>
    <row r="2677" spans="1:21" ht="16.5" customHeight="1">
      <c r="A2677" s="159" t="s">
        <v>267</v>
      </c>
      <c r="B2677" s="114" t="str">
        <f>VLOOKUP(A2677,'Data pick slip'!B:F,5,FALSE)</f>
        <v>KHJ-MC600-00</v>
      </c>
      <c r="F2677" s="157" t="s">
        <v>227</v>
      </c>
      <c r="H2677" s="138">
        <v>1071</v>
      </c>
      <c r="I2677" s="139" t="e">
        <f>VLOOKUP(H2677,Stock_list!A:R,18,FALSE)</f>
        <v>#N/A</v>
      </c>
      <c r="J2677" s="139" t="e">
        <f>VLOOKUP(H2677,Stock_list!A:S,17,FALSE)</f>
        <v>#N/A</v>
      </c>
      <c r="K2677" s="51" t="e">
        <f>VLOOKUP(H2677,Stock_list!A:T,16,FALSE)</f>
        <v>#N/A</v>
      </c>
      <c r="L2677" s="4">
        <v>44334</v>
      </c>
      <c r="M2677" s="132">
        <v>3</v>
      </c>
      <c r="P2677" s="4" t="e">
        <f>VLOOKUP(H2677,Stock_list!A:Y,25,FALSE)</f>
        <v>#N/A</v>
      </c>
      <c r="T2677" s="144"/>
      <c r="U2677" s="145" t="e">
        <f>VLOOKUP(H2677,Stock_list!A:N,14,FALSE)</f>
        <v>#N/A</v>
      </c>
    </row>
    <row r="2678" spans="1:21" ht="16.5" customHeight="1">
      <c r="A2678" s="159" t="s">
        <v>261</v>
      </c>
      <c r="B2678" s="114" t="str">
        <f>VLOOKUP(A2678,'Data pick slip'!B:F,5,FALSE)</f>
        <v>KHJ-MC100-00</v>
      </c>
      <c r="F2678" s="157" t="s">
        <v>227</v>
      </c>
      <c r="H2678" s="138">
        <v>1078</v>
      </c>
      <c r="I2678" s="139" t="e">
        <f>VLOOKUP(H2678,Stock_list!A:R,18,FALSE)</f>
        <v>#N/A</v>
      </c>
      <c r="J2678" s="139" t="e">
        <f>VLOOKUP(H2678,Stock_list!A:S,17,FALSE)</f>
        <v>#N/A</v>
      </c>
      <c r="K2678" s="51" t="e">
        <f>VLOOKUP(H2678,Stock_list!A:T,16,FALSE)</f>
        <v>#N/A</v>
      </c>
      <c r="L2678" s="4">
        <v>44250</v>
      </c>
      <c r="M2678" s="132">
        <v>30</v>
      </c>
      <c r="P2678" s="4" t="e">
        <f>VLOOKUP(H2678,Stock_list!A:Y,25,FALSE)</f>
        <v>#N/A</v>
      </c>
      <c r="T2678" s="144"/>
      <c r="U2678" s="145" t="e">
        <f>VLOOKUP(H2678,Stock_list!A:N,14,FALSE)</f>
        <v>#N/A</v>
      </c>
    </row>
    <row r="2679" spans="1:21" ht="16.5" customHeight="1">
      <c r="A2679" s="159" t="s">
        <v>264</v>
      </c>
      <c r="B2679" s="114" t="str">
        <f>VLOOKUP(A2679,'Data pick slip'!B:F,5,FALSE)</f>
        <v>KHJ-MC200-00</v>
      </c>
      <c r="F2679" s="157" t="s">
        <v>227</v>
      </c>
      <c r="H2679" s="138">
        <v>1078</v>
      </c>
      <c r="I2679" s="139" t="e">
        <f>VLOOKUP(H2679,Stock_list!A:R,18,FALSE)</f>
        <v>#N/A</v>
      </c>
      <c r="J2679" s="139" t="e">
        <f>VLOOKUP(H2679,Stock_list!A:S,17,FALSE)</f>
        <v>#N/A</v>
      </c>
      <c r="K2679" s="51" t="e">
        <f>VLOOKUP(H2679,Stock_list!A:T,16,FALSE)</f>
        <v>#N/A</v>
      </c>
      <c r="L2679" s="4">
        <v>44250</v>
      </c>
      <c r="M2679" s="132">
        <v>4</v>
      </c>
      <c r="P2679" s="4" t="e">
        <f>VLOOKUP(H2679,Stock_list!A:Y,25,FALSE)</f>
        <v>#N/A</v>
      </c>
      <c r="T2679" s="144"/>
      <c r="U2679" s="145" t="e">
        <f>VLOOKUP(H2679,Stock_list!A:N,14,FALSE)</f>
        <v>#N/A</v>
      </c>
    </row>
    <row r="2680" spans="1:21" ht="16.5" customHeight="1">
      <c r="A2680" s="159" t="s">
        <v>265</v>
      </c>
      <c r="B2680" s="114" t="str">
        <f>VLOOKUP(A2680,'Data pick slip'!B:F,5,FALSE)</f>
        <v>KHJ-MC400-00</v>
      </c>
      <c r="F2680" s="157" t="s">
        <v>227</v>
      </c>
      <c r="H2680" s="138">
        <v>1078</v>
      </c>
      <c r="I2680" s="139" t="e">
        <f>VLOOKUP(H2680,Stock_list!A:R,18,FALSE)</f>
        <v>#N/A</v>
      </c>
      <c r="J2680" s="139" t="e">
        <f>VLOOKUP(H2680,Stock_list!A:S,17,FALSE)</f>
        <v>#N/A</v>
      </c>
      <c r="K2680" s="51" t="e">
        <f>VLOOKUP(H2680,Stock_list!A:T,16,FALSE)</f>
        <v>#N/A</v>
      </c>
      <c r="L2680" s="4">
        <v>44250</v>
      </c>
      <c r="M2680" s="132">
        <v>1</v>
      </c>
      <c r="P2680" s="4" t="e">
        <f>VLOOKUP(H2680,Stock_list!A:Y,25,FALSE)</f>
        <v>#N/A</v>
      </c>
      <c r="T2680" s="144"/>
      <c r="U2680" s="145" t="e">
        <f>VLOOKUP(H2680,Stock_list!A:N,14,FALSE)</f>
        <v>#N/A</v>
      </c>
    </row>
    <row r="2681" spans="1:21" ht="16.5" customHeight="1">
      <c r="A2681" s="159" t="s">
        <v>274</v>
      </c>
      <c r="B2681" s="114" t="str">
        <f>VLOOKUP(A2681,'Data pick slip'!B:F,5,FALSE)</f>
        <v>KLJ-MC400-00</v>
      </c>
      <c r="F2681" s="157" t="s">
        <v>270</v>
      </c>
      <c r="I2681" s="139" t="s">
        <v>617</v>
      </c>
      <c r="J2681" s="267" t="s">
        <v>930</v>
      </c>
      <c r="K2681" s="51" t="s">
        <v>225</v>
      </c>
      <c r="L2681" s="4">
        <v>44222</v>
      </c>
      <c r="M2681" s="140">
        <v>3</v>
      </c>
      <c r="P2681" s="4" t="s">
        <v>214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261</v>
      </c>
      <c r="B2682" s="114" t="str">
        <f>VLOOKUP(A2682,'Data pick slip'!B:F,5,FALSE)</f>
        <v>KHJ-MC100-00</v>
      </c>
      <c r="F2682" s="157" t="s">
        <v>227</v>
      </c>
      <c r="H2682" s="138">
        <v>1088</v>
      </c>
      <c r="I2682" s="139" t="e">
        <f>VLOOKUP(H2682,Stock_list!A:R,18,FALSE)</f>
        <v>#N/A</v>
      </c>
      <c r="J2682" s="139" t="e">
        <f>VLOOKUP(H2682,Stock_list!A:S,17,FALSE)</f>
        <v>#N/A</v>
      </c>
      <c r="K2682" s="51" t="e">
        <f>VLOOKUP(H2682,Stock_list!A:T,16,FALSE)</f>
        <v>#N/A</v>
      </c>
      <c r="L2682" s="4">
        <v>44329</v>
      </c>
      <c r="M2682" s="140">
        <v>2</v>
      </c>
      <c r="P2682" s="4" t="e">
        <f>VLOOKUP(H2682,Stock_list!A:Y,25,FALSE)</f>
        <v>#N/A</v>
      </c>
      <c r="Q2682" s="143"/>
      <c r="T2682" s="144"/>
      <c r="U2682" s="145" t="e">
        <f>VLOOKUP(H2682,Stock_list!A:N,14,FALSE)</f>
        <v>#N/A</v>
      </c>
    </row>
    <row r="2683" spans="1:21" ht="16.5" customHeight="1">
      <c r="A2683" s="159" t="s">
        <v>261</v>
      </c>
      <c r="B2683" s="114" t="str">
        <f>VLOOKUP(A2683,'Data pick slip'!B:F,5,FALSE)</f>
        <v>KHJ-MC100-00</v>
      </c>
      <c r="F2683" s="157" t="s">
        <v>270</v>
      </c>
      <c r="H2683" s="138">
        <v>1089</v>
      </c>
      <c r="I2683" s="139" t="e">
        <f>VLOOKUP(H2683,Stock_list!A:R,18,FALSE)</f>
        <v>#N/A</v>
      </c>
      <c r="J2683" s="139" t="e">
        <f>VLOOKUP(H2683,Stock_list!A:S,17,FALSE)</f>
        <v>#N/A</v>
      </c>
      <c r="K2683" s="51" t="e">
        <f>VLOOKUP(H2683,Stock_list!A:T,16,FALSE)</f>
        <v>#N/A</v>
      </c>
      <c r="L2683" s="4">
        <v>44407</v>
      </c>
      <c r="M2683" s="132">
        <v>30</v>
      </c>
      <c r="P2683" s="4" t="e">
        <f>VLOOKUP(H2683,Stock_list!A:Y,25,FALSE)</f>
        <v>#N/A</v>
      </c>
      <c r="T2683" s="144"/>
      <c r="U2683" s="145" t="e">
        <f>VLOOKUP(H2683,Stock_list!A:N,14,FALSE)</f>
        <v>#N/A</v>
      </c>
    </row>
    <row r="2684" spans="1:21" ht="16.5" customHeight="1">
      <c r="A2684" s="159" t="s">
        <v>264</v>
      </c>
      <c r="B2684" s="114" t="str">
        <f>VLOOKUP(A2684,'Data pick slip'!B:F,5,FALSE)</f>
        <v>KHJ-MC200-00</v>
      </c>
      <c r="F2684" s="157" t="s">
        <v>270</v>
      </c>
      <c r="H2684" s="138">
        <v>1089</v>
      </c>
      <c r="I2684" s="139" t="e">
        <f>VLOOKUP(H2684,Stock_list!A:R,18,FALSE)</f>
        <v>#N/A</v>
      </c>
      <c r="J2684" s="139" t="e">
        <f>VLOOKUP(H2684,Stock_list!A:S,17,FALSE)</f>
        <v>#N/A</v>
      </c>
      <c r="K2684" s="51" t="e">
        <f>VLOOKUP(H2684,Stock_list!A:T,16,FALSE)</f>
        <v>#N/A</v>
      </c>
      <c r="L2684" s="4">
        <v>44407</v>
      </c>
      <c r="M2684" s="132">
        <v>10</v>
      </c>
      <c r="P2684" s="4" t="e">
        <f>VLOOKUP(H2684,Stock_list!A:Y,25,FALSE)</f>
        <v>#N/A</v>
      </c>
      <c r="T2684" s="144"/>
      <c r="U2684" s="145" t="e">
        <f>VLOOKUP(H2684,Stock_list!A:N,14,FALSE)</f>
        <v>#N/A</v>
      </c>
    </row>
    <row r="2685" spans="1:21" ht="16.5" customHeight="1">
      <c r="A2685" s="159" t="s">
        <v>265</v>
      </c>
      <c r="B2685" s="114" t="str">
        <f>VLOOKUP(A2685,'Data pick slip'!B:F,5,FALSE)</f>
        <v>KHJ-MC400-00</v>
      </c>
      <c r="F2685" s="157" t="s">
        <v>270</v>
      </c>
      <c r="H2685" s="138">
        <v>1089</v>
      </c>
      <c r="I2685" s="139" t="e">
        <f>VLOOKUP(H2685,Stock_list!A:R,18,FALSE)</f>
        <v>#N/A</v>
      </c>
      <c r="J2685" s="139" t="e">
        <f>VLOOKUP(H2685,Stock_list!A:S,17,FALSE)</f>
        <v>#N/A</v>
      </c>
      <c r="K2685" s="51" t="e">
        <f>VLOOKUP(H2685,Stock_list!A:T,16,FALSE)</f>
        <v>#N/A</v>
      </c>
      <c r="L2685" s="4">
        <v>44407</v>
      </c>
      <c r="M2685" s="132">
        <v>2</v>
      </c>
      <c r="P2685" s="4" t="e">
        <f>VLOOKUP(H2685,Stock_list!A:Y,25,FALSE)</f>
        <v>#N/A</v>
      </c>
      <c r="T2685" s="144"/>
      <c r="U2685" s="145" t="e">
        <f>VLOOKUP(H2685,Stock_list!A:N,14,FALSE)</f>
        <v>#N/A</v>
      </c>
    </row>
    <row r="2686" spans="1:21" ht="16.5" customHeight="1">
      <c r="A2686" s="159" t="s">
        <v>266</v>
      </c>
      <c r="B2686" s="114" t="str">
        <f>VLOOKUP(A2686,'Data pick slip'!B:F,5,FALSE)</f>
        <v>KHJ-MC500-00</v>
      </c>
      <c r="F2686" s="157" t="s">
        <v>270</v>
      </c>
      <c r="H2686" s="138">
        <v>1089</v>
      </c>
      <c r="I2686" s="139" t="e">
        <f>VLOOKUP(H2686,Stock_list!A:R,18,FALSE)</f>
        <v>#N/A</v>
      </c>
      <c r="J2686" s="139" t="e">
        <f>VLOOKUP(H2686,Stock_list!A:S,17,FALSE)</f>
        <v>#N/A</v>
      </c>
      <c r="K2686" s="51" t="e">
        <f>VLOOKUP(H2686,Stock_list!A:T,16,FALSE)</f>
        <v>#N/A</v>
      </c>
      <c r="L2686" s="4">
        <v>44407</v>
      </c>
      <c r="M2686" s="132">
        <v>1</v>
      </c>
      <c r="P2686" s="4" t="e">
        <f>VLOOKUP(H2686,Stock_list!A:Y,25,FALSE)</f>
        <v>#N/A</v>
      </c>
      <c r="T2686" s="144"/>
      <c r="U2686" s="145" t="e">
        <f>VLOOKUP(H2686,Stock_list!A:N,14,FALSE)</f>
        <v>#N/A</v>
      </c>
    </row>
    <row r="2687" spans="1:21" ht="16.5" customHeight="1">
      <c r="A2687" s="159" t="s">
        <v>269</v>
      </c>
      <c r="B2687" s="114" t="str">
        <f>VLOOKUP(A2687,'Data pick slip'!B:F,5,FALSE)</f>
        <v>KHJ-MC800-00</v>
      </c>
      <c r="F2687" s="157" t="s">
        <v>227</v>
      </c>
      <c r="I2687" s="269" t="s">
        <v>931</v>
      </c>
      <c r="J2687" s="139" t="s">
        <v>932</v>
      </c>
      <c r="K2687" s="51" t="s">
        <v>225</v>
      </c>
      <c r="L2687" s="4">
        <v>44210</v>
      </c>
      <c r="M2687" s="140">
        <v>1</v>
      </c>
      <c r="P2687" s="4" t="s">
        <v>214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269</v>
      </c>
      <c r="B2688" s="114" t="str">
        <f>VLOOKUP(A2688,'Data pick slip'!B:F,5,FALSE)</f>
        <v>KHJ-MC800-00</v>
      </c>
      <c r="F2688" s="157" t="s">
        <v>270</v>
      </c>
      <c r="I2688" s="139" t="s">
        <v>617</v>
      </c>
      <c r="J2688" s="270" t="s">
        <v>933</v>
      </c>
      <c r="K2688" s="51" t="s">
        <v>225</v>
      </c>
      <c r="L2688" s="4">
        <v>44211</v>
      </c>
      <c r="M2688" s="140">
        <v>1</v>
      </c>
      <c r="P2688" s="4" t="s">
        <v>214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261</v>
      </c>
      <c r="B2689" s="114" t="str">
        <f>VLOOKUP(A2689,'Data pick slip'!B:F,5,FALSE)</f>
        <v>KHJ-MC100-00</v>
      </c>
      <c r="F2689" s="157" t="s">
        <v>227</v>
      </c>
      <c r="H2689" s="138">
        <v>1090</v>
      </c>
      <c r="I2689" s="139" t="e">
        <f>VLOOKUP(H2689,Stock_list!A:R,18,FALSE)</f>
        <v>#N/A</v>
      </c>
      <c r="J2689" s="139" t="e">
        <f>VLOOKUP(H2689,Stock_list!A:S,17,FALSE)</f>
        <v>#N/A</v>
      </c>
      <c r="K2689" s="51" t="e">
        <f>VLOOKUP(H2689,Stock_list!A:T,16,FALSE)</f>
        <v>#N/A</v>
      </c>
      <c r="L2689" s="4">
        <v>44672</v>
      </c>
      <c r="M2689" s="140">
        <v>55</v>
      </c>
      <c r="P2689" s="4" t="e">
        <f>VLOOKUP(H2689,Stock_list!A:Y,25,FALSE)</f>
        <v>#N/A</v>
      </c>
      <c r="Q2689" s="143"/>
      <c r="T2689" s="144"/>
      <c r="U2689" s="145" t="e">
        <f>VLOOKUP(H2689,Stock_list!A:N,14,FALSE)</f>
        <v>#N/A</v>
      </c>
    </row>
    <row r="2690" spans="1:21" ht="16.5" customHeight="1">
      <c r="A2690" s="159" t="s">
        <v>264</v>
      </c>
      <c r="B2690" s="114" t="str">
        <f>VLOOKUP(A2690,'Data pick slip'!B:F,5,FALSE)</f>
        <v>KHJ-MC200-00</v>
      </c>
      <c r="F2690" s="157" t="s">
        <v>227</v>
      </c>
      <c r="H2690" s="138">
        <v>1090</v>
      </c>
      <c r="I2690" s="139" t="e">
        <f>VLOOKUP(H2690,Stock_list!A:R,18,FALSE)</f>
        <v>#N/A</v>
      </c>
      <c r="J2690" s="139" t="e">
        <f>VLOOKUP(H2690,Stock_list!A:S,17,FALSE)</f>
        <v>#N/A</v>
      </c>
      <c r="K2690" s="51" t="e">
        <f>VLOOKUP(H2690,Stock_list!A:T,16,FALSE)</f>
        <v>#N/A</v>
      </c>
      <c r="L2690" s="4">
        <v>44672</v>
      </c>
      <c r="M2690" s="140">
        <v>4</v>
      </c>
      <c r="P2690" s="4" t="e">
        <f>VLOOKUP(H2690,Stock_list!A:Y,25,FALSE)</f>
        <v>#N/A</v>
      </c>
      <c r="Q2690" s="143"/>
      <c r="T2690" s="144"/>
      <c r="U2690" s="145" t="e">
        <f>VLOOKUP(H2690,Stock_list!A:N,14,FALSE)</f>
        <v>#N/A</v>
      </c>
    </row>
    <row r="2691" spans="1:21" ht="16.5" customHeight="1">
      <c r="A2691" s="159" t="s">
        <v>265</v>
      </c>
      <c r="B2691" s="114" t="str">
        <f>VLOOKUP(A2691,'Data pick slip'!B:F,5,FALSE)</f>
        <v>KHJ-MC400-00</v>
      </c>
      <c r="F2691" s="157" t="s">
        <v>227</v>
      </c>
      <c r="H2691" s="138">
        <v>1090</v>
      </c>
      <c r="I2691" s="139" t="e">
        <f>VLOOKUP(H2691,Stock_list!A:R,18,FALSE)</f>
        <v>#N/A</v>
      </c>
      <c r="J2691" s="139" t="e">
        <f>VLOOKUP(H2691,Stock_list!A:S,17,FALSE)</f>
        <v>#N/A</v>
      </c>
      <c r="K2691" s="51" t="e">
        <f>VLOOKUP(H2691,Stock_list!A:T,16,FALSE)</f>
        <v>#N/A</v>
      </c>
      <c r="L2691" s="4">
        <v>44672</v>
      </c>
      <c r="M2691" s="140">
        <v>3</v>
      </c>
      <c r="P2691" s="4" t="e">
        <f>VLOOKUP(H2691,Stock_list!A:Y,25,FALSE)</f>
        <v>#N/A</v>
      </c>
      <c r="Q2691" s="143"/>
      <c r="T2691" s="144"/>
      <c r="U2691" s="145" t="e">
        <f>VLOOKUP(H2691,Stock_list!A:N,14,FALSE)</f>
        <v>#N/A</v>
      </c>
    </row>
    <row r="2692" spans="1:21" ht="16.5" customHeight="1">
      <c r="A2692" s="159" t="s">
        <v>261</v>
      </c>
      <c r="B2692" s="114" t="str">
        <f>VLOOKUP(A2692,'Data pick slip'!B:F,5,FALSE)</f>
        <v>KHJ-MC100-00</v>
      </c>
      <c r="F2692" s="157" t="s">
        <v>227</v>
      </c>
      <c r="H2692" s="138">
        <v>1090</v>
      </c>
      <c r="I2692" s="139" t="e">
        <f>VLOOKUP(H2692,Stock_list!A:R,18,FALSE)</f>
        <v>#N/A</v>
      </c>
      <c r="J2692" s="139" t="e">
        <f>VLOOKUP(H2692,Stock_list!A:S,17,FALSE)</f>
        <v>#N/A</v>
      </c>
      <c r="K2692" s="51" t="e">
        <f>VLOOKUP(H2692,Stock_list!A:T,16,FALSE)</f>
        <v>#N/A</v>
      </c>
      <c r="L2692" s="4">
        <v>44582</v>
      </c>
      <c r="M2692" s="140">
        <v>55</v>
      </c>
      <c r="P2692" s="4" t="e">
        <f>VLOOKUP(H2692,Stock_list!A:Y,25,FALSE)</f>
        <v>#N/A</v>
      </c>
      <c r="Q2692" s="143"/>
      <c r="T2692" s="144"/>
      <c r="U2692" s="145" t="e">
        <f>VLOOKUP(H2692,Stock_list!A:N,14,FALSE)</f>
        <v>#N/A</v>
      </c>
    </row>
    <row r="2693" spans="1:21" ht="16.5" customHeight="1">
      <c r="A2693" s="159" t="s">
        <v>264</v>
      </c>
      <c r="B2693" s="114" t="str">
        <f>VLOOKUP(A2693,'Data pick slip'!B:F,5,FALSE)</f>
        <v>KHJ-MC200-00</v>
      </c>
      <c r="F2693" s="157" t="s">
        <v>227</v>
      </c>
      <c r="H2693" s="138">
        <v>1090</v>
      </c>
      <c r="I2693" s="139" t="e">
        <f>VLOOKUP(H2693,Stock_list!A:R,18,FALSE)</f>
        <v>#N/A</v>
      </c>
      <c r="J2693" s="139" t="e">
        <f>VLOOKUP(H2693,Stock_list!A:S,17,FALSE)</f>
        <v>#N/A</v>
      </c>
      <c r="K2693" s="51" t="e">
        <f>VLOOKUP(H2693,Stock_list!A:T,16,FALSE)</f>
        <v>#N/A</v>
      </c>
      <c r="L2693" s="4">
        <v>44582</v>
      </c>
      <c r="M2693" s="140">
        <v>4</v>
      </c>
      <c r="P2693" s="4" t="e">
        <f>VLOOKUP(H2693,Stock_list!A:Y,25,FALSE)</f>
        <v>#N/A</v>
      </c>
      <c r="Q2693" s="143"/>
      <c r="T2693" s="144"/>
      <c r="U2693" s="145" t="e">
        <f>VLOOKUP(H2693,Stock_list!A:N,14,FALSE)</f>
        <v>#N/A</v>
      </c>
    </row>
    <row r="2694" spans="1:21" ht="16.5" customHeight="1">
      <c r="A2694" s="159" t="s">
        <v>265</v>
      </c>
      <c r="B2694" s="114" t="str">
        <f>VLOOKUP(A2694,'Data pick slip'!B:F,5,FALSE)</f>
        <v>KHJ-MC400-00</v>
      </c>
      <c r="F2694" s="157" t="s">
        <v>227</v>
      </c>
      <c r="H2694" s="138">
        <v>1090</v>
      </c>
      <c r="I2694" s="139" t="e">
        <f>VLOOKUP(H2694,Stock_list!A:R,18,FALSE)</f>
        <v>#N/A</v>
      </c>
      <c r="J2694" s="139" t="e">
        <f>VLOOKUP(H2694,Stock_list!A:S,17,FALSE)</f>
        <v>#N/A</v>
      </c>
      <c r="K2694" s="51" t="e">
        <f>VLOOKUP(H2694,Stock_list!A:T,16,FALSE)</f>
        <v>#N/A</v>
      </c>
      <c r="L2694" s="4">
        <v>44582</v>
      </c>
      <c r="M2694" s="140">
        <v>2</v>
      </c>
      <c r="P2694" s="4" t="e">
        <f>VLOOKUP(H2694,Stock_list!A:Y,25,FALSE)</f>
        <v>#N/A</v>
      </c>
      <c r="Q2694" s="143"/>
      <c r="T2694" s="144"/>
      <c r="U2694" s="145" t="e">
        <f>VLOOKUP(H2694,Stock_list!A:N,14,FALSE)</f>
        <v>#N/A</v>
      </c>
    </row>
    <row r="2695" spans="1:21" ht="16.5" customHeight="1">
      <c r="A2695" s="159" t="s">
        <v>272</v>
      </c>
      <c r="B2695" s="114" t="str">
        <f>VLOOKUP(A2695,'Data pick slip'!B:F,5,FALSE)</f>
        <v>KLJ-MC100-00</v>
      </c>
      <c r="F2695" s="157" t="s">
        <v>270</v>
      </c>
      <c r="H2695" s="138">
        <v>1094</v>
      </c>
      <c r="I2695" s="139" t="e">
        <f>VLOOKUP(H2695,Stock_list!A:R,18,FALSE)</f>
        <v>#N/A</v>
      </c>
      <c r="J2695" s="139" t="e">
        <f>VLOOKUP(H2695,Stock_list!A:S,17,FALSE)</f>
        <v>#N/A</v>
      </c>
      <c r="K2695" s="51" t="e">
        <f>VLOOKUP(H2695,Stock_list!A:T,16,FALSE)</f>
        <v>#N/A</v>
      </c>
      <c r="L2695" s="4">
        <v>44335</v>
      </c>
      <c r="M2695" s="140">
        <v>68</v>
      </c>
      <c r="P2695" s="4" t="e">
        <f>VLOOKUP(H2695,Stock_list!A:Y,25,FALSE)</f>
        <v>#N/A</v>
      </c>
      <c r="Q2695" s="143"/>
      <c r="T2695" s="144"/>
      <c r="U2695" s="145" t="e">
        <f>VLOOKUP(H2695,Stock_list!A:N,14,FALSE)</f>
        <v>#N/A</v>
      </c>
    </row>
    <row r="2696" spans="1:21" ht="16.5" customHeight="1">
      <c r="A2696" s="159" t="s">
        <v>261</v>
      </c>
      <c r="B2696" s="114" t="str">
        <f>VLOOKUP(A2696,'Data pick slip'!B:F,5,FALSE)</f>
        <v>KHJ-MC100-00</v>
      </c>
      <c r="F2696" s="157" t="s">
        <v>227</v>
      </c>
      <c r="H2696" s="138">
        <v>1098</v>
      </c>
      <c r="I2696" s="139" t="e">
        <f>VLOOKUP(H2696,Stock_list!A:R,18,FALSE)</f>
        <v>#N/A</v>
      </c>
      <c r="J2696" s="139" t="e">
        <f>VLOOKUP(H2696,Stock_list!A:S,17,FALSE)</f>
        <v>#N/A</v>
      </c>
      <c r="K2696" s="51" t="e">
        <f>VLOOKUP(H2696,Stock_list!A:T,16,FALSE)</f>
        <v>#N/A</v>
      </c>
      <c r="L2696" s="4">
        <v>44324</v>
      </c>
      <c r="M2696" s="132">
        <v>20</v>
      </c>
      <c r="P2696" s="4" t="e">
        <f>VLOOKUP(H2696,Stock_list!A:Y,25,FALSE)</f>
        <v>#N/A</v>
      </c>
      <c r="Q2696" s="143"/>
      <c r="T2696" s="144"/>
      <c r="U2696" s="145" t="e">
        <f>VLOOKUP(H2696,Stock_list!A:N,14,FALSE)</f>
        <v>#N/A</v>
      </c>
    </row>
    <row r="2697" spans="1:21" ht="16.5" customHeight="1">
      <c r="A2697" s="159" t="s">
        <v>264</v>
      </c>
      <c r="B2697" s="114" t="str">
        <f>VLOOKUP(A2697,'Data pick slip'!B:F,5,FALSE)</f>
        <v>KHJ-MC200-00</v>
      </c>
      <c r="F2697" s="157" t="s">
        <v>227</v>
      </c>
      <c r="H2697" s="138">
        <v>1098</v>
      </c>
      <c r="I2697" s="139" t="e">
        <f>VLOOKUP(H2697,Stock_list!A:R,18,FALSE)</f>
        <v>#N/A</v>
      </c>
      <c r="J2697" s="139" t="e">
        <f>VLOOKUP(H2697,Stock_list!A:S,17,FALSE)</f>
        <v>#N/A</v>
      </c>
      <c r="K2697" s="51" t="e">
        <f>VLOOKUP(H2697,Stock_list!A:T,16,FALSE)</f>
        <v>#N/A</v>
      </c>
      <c r="L2697" s="4">
        <v>44324</v>
      </c>
      <c r="M2697" s="132">
        <v>5</v>
      </c>
      <c r="P2697" s="4" t="e">
        <f>VLOOKUP(H2697,Stock_list!A:Y,25,FALSE)</f>
        <v>#N/A</v>
      </c>
      <c r="Q2697" s="143"/>
      <c r="T2697" s="144"/>
      <c r="U2697" s="145" t="e">
        <f>VLOOKUP(H2697,Stock_list!A:N,14,FALSE)</f>
        <v>#N/A</v>
      </c>
    </row>
    <row r="2698" spans="1:21" ht="16.5" customHeight="1">
      <c r="A2698" s="159" t="s">
        <v>261</v>
      </c>
      <c r="B2698" s="114" t="str">
        <f>VLOOKUP(A2698,'Data pick slip'!B:F,5,FALSE)</f>
        <v>KHJ-MC100-00</v>
      </c>
      <c r="F2698" s="157" t="s">
        <v>227</v>
      </c>
      <c r="H2698" s="138">
        <v>1100</v>
      </c>
      <c r="I2698" s="139" t="e">
        <f>VLOOKUP(H2698,Stock_list!A:R,18,FALSE)</f>
        <v>#N/A</v>
      </c>
      <c r="J2698" s="139" t="e">
        <f>VLOOKUP(H2698,Stock_list!A:S,17,FALSE)</f>
        <v>#N/A</v>
      </c>
      <c r="K2698" s="51" t="e">
        <f>VLOOKUP(H2698,Stock_list!A:T,16,FALSE)</f>
        <v>#N/A</v>
      </c>
      <c r="L2698" s="4">
        <v>44329</v>
      </c>
      <c r="M2698" s="132">
        <v>120</v>
      </c>
      <c r="P2698" s="4" t="e">
        <f>VLOOKUP(H2698,Stock_list!A:Y,25,FALSE)</f>
        <v>#N/A</v>
      </c>
      <c r="Q2698" s="143"/>
      <c r="T2698" s="144"/>
      <c r="U2698" s="145" t="e">
        <f>VLOOKUP(H2698,Stock_list!A:N,14,FALSE)</f>
        <v>#N/A</v>
      </c>
    </row>
    <row r="2699" spans="1:21" ht="16.5" customHeight="1">
      <c r="A2699" s="159" t="s">
        <v>264</v>
      </c>
      <c r="B2699" s="114" t="str">
        <f>VLOOKUP(A2699,'Data pick slip'!B:F,5,FALSE)</f>
        <v>KHJ-MC200-00</v>
      </c>
      <c r="F2699" s="157" t="s">
        <v>227</v>
      </c>
      <c r="H2699" s="138">
        <v>1100</v>
      </c>
      <c r="I2699" s="139" t="e">
        <f>VLOOKUP(H2699,Stock_list!A:R,18,FALSE)</f>
        <v>#N/A</v>
      </c>
      <c r="J2699" s="139" t="e">
        <f>VLOOKUP(H2699,Stock_list!A:S,17,FALSE)</f>
        <v>#N/A</v>
      </c>
      <c r="K2699" s="51" t="e">
        <f>VLOOKUP(H2699,Stock_list!A:T,16,FALSE)</f>
        <v>#N/A</v>
      </c>
      <c r="L2699" s="4">
        <v>44329</v>
      </c>
      <c r="M2699" s="132">
        <v>25</v>
      </c>
      <c r="P2699" s="4" t="e">
        <f>VLOOKUP(H2699,Stock_list!A:Y,25,FALSE)</f>
        <v>#N/A</v>
      </c>
      <c r="Q2699" s="143"/>
      <c r="T2699" s="144"/>
      <c r="U2699" s="145" t="e">
        <f>VLOOKUP(H2699,Stock_list!A:N,14,FALSE)</f>
        <v>#N/A</v>
      </c>
    </row>
    <row r="2700" spans="1:21" ht="16.5" customHeight="1">
      <c r="A2700" s="159" t="s">
        <v>265</v>
      </c>
      <c r="B2700" s="114" t="str">
        <f>VLOOKUP(A2700,'Data pick slip'!B:F,5,FALSE)</f>
        <v>KHJ-MC400-00</v>
      </c>
      <c r="F2700" s="157" t="s">
        <v>227</v>
      </c>
      <c r="H2700" s="138">
        <v>1100</v>
      </c>
      <c r="I2700" s="139" t="e">
        <f>VLOOKUP(H2700,Stock_list!A:R,18,FALSE)</f>
        <v>#N/A</v>
      </c>
      <c r="J2700" s="139" t="e">
        <f>VLOOKUP(H2700,Stock_list!A:S,17,FALSE)</f>
        <v>#N/A</v>
      </c>
      <c r="K2700" s="51" t="e">
        <f>VLOOKUP(H2700,Stock_list!A:T,16,FALSE)</f>
        <v>#N/A</v>
      </c>
      <c r="L2700" s="4">
        <v>44329</v>
      </c>
      <c r="M2700" s="132">
        <v>6</v>
      </c>
      <c r="P2700" s="4" t="e">
        <f>VLOOKUP(H2700,Stock_list!A:Y,25,FALSE)</f>
        <v>#N/A</v>
      </c>
      <c r="Q2700" s="143"/>
      <c r="T2700" s="144"/>
      <c r="U2700" s="145" t="e">
        <f>VLOOKUP(H2700,Stock_list!A:N,14,FALSE)</f>
        <v>#N/A</v>
      </c>
    </row>
    <row r="2701" spans="1:21" ht="16.5" customHeight="1">
      <c r="A2701" s="159" t="s">
        <v>266</v>
      </c>
      <c r="B2701" s="114" t="str">
        <f>VLOOKUP(A2701,'Data pick slip'!B:F,5,FALSE)</f>
        <v>KHJ-MC500-00</v>
      </c>
      <c r="F2701" s="157" t="s">
        <v>227</v>
      </c>
      <c r="H2701" s="138">
        <v>1100</v>
      </c>
      <c r="I2701" s="139" t="e">
        <f>VLOOKUP(H2701,Stock_list!A:R,18,FALSE)</f>
        <v>#N/A</v>
      </c>
      <c r="J2701" s="139" t="e">
        <f>VLOOKUP(H2701,Stock_list!A:S,17,FALSE)</f>
        <v>#N/A</v>
      </c>
      <c r="K2701" s="51" t="e">
        <f>VLOOKUP(H2701,Stock_list!A:T,16,FALSE)</f>
        <v>#N/A</v>
      </c>
      <c r="L2701" s="4">
        <v>44329</v>
      </c>
      <c r="M2701" s="132">
        <v>1</v>
      </c>
      <c r="P2701" s="4" t="e">
        <f>VLOOKUP(H2701,Stock_list!A:Y,25,FALSE)</f>
        <v>#N/A</v>
      </c>
      <c r="Q2701" s="143"/>
      <c r="T2701" s="144"/>
      <c r="U2701" s="145" t="e">
        <f>VLOOKUP(H2701,Stock_list!A:N,14,FALSE)</f>
        <v>#N/A</v>
      </c>
    </row>
    <row r="2702" spans="1:21" ht="16.5" customHeight="1">
      <c r="A2702" s="159" t="s">
        <v>261</v>
      </c>
      <c r="B2702" s="114" t="str">
        <f>VLOOKUP(A2702,'Data pick slip'!B:F,5,FALSE)</f>
        <v>KHJ-MC100-00</v>
      </c>
      <c r="F2702" s="157" t="s">
        <v>378</v>
      </c>
      <c r="H2702" s="138">
        <v>1079</v>
      </c>
      <c r="I2702" s="139" t="e">
        <f>VLOOKUP(H2702,Stock_list!A:R,18,FALSE)</f>
        <v>#N/A</v>
      </c>
      <c r="J2702" s="139" t="e">
        <f>VLOOKUP(H2702,Stock_list!A:S,17,FALSE)</f>
        <v>#N/A</v>
      </c>
      <c r="K2702" s="51" t="e">
        <f>VLOOKUP(H2702,Stock_list!A:T,16,FALSE)</f>
        <v>#N/A</v>
      </c>
      <c r="L2702" s="4">
        <v>44284</v>
      </c>
      <c r="M2702" s="132">
        <v>90</v>
      </c>
      <c r="P2702" s="4" t="e">
        <f>VLOOKUP(H2702,Stock_list!A:Y,25,FALSE)</f>
        <v>#N/A</v>
      </c>
      <c r="Q2702" s="143"/>
      <c r="T2702" s="144"/>
      <c r="U2702" s="145" t="e">
        <f>VLOOKUP(H2702,Stock_list!A:N,14,FALSE)</f>
        <v>#N/A</v>
      </c>
    </row>
    <row r="2703" spans="1:21" ht="16.5" customHeight="1">
      <c r="A2703" s="159" t="s">
        <v>264</v>
      </c>
      <c r="B2703" s="114" t="str">
        <f>VLOOKUP(A2703,'Data pick slip'!B:F,5,FALSE)</f>
        <v>KHJ-MC200-00</v>
      </c>
      <c r="F2703" s="157" t="s">
        <v>378</v>
      </c>
      <c r="H2703" s="138">
        <v>1079</v>
      </c>
      <c r="I2703" s="139" t="e">
        <f>VLOOKUP(H2703,Stock_list!A:R,18,FALSE)</f>
        <v>#N/A</v>
      </c>
      <c r="J2703" s="139" t="e">
        <f>VLOOKUP(H2703,Stock_list!A:S,17,FALSE)</f>
        <v>#N/A</v>
      </c>
      <c r="K2703" s="51" t="e">
        <f>VLOOKUP(H2703,Stock_list!A:T,16,FALSE)</f>
        <v>#N/A</v>
      </c>
      <c r="L2703" s="4">
        <v>44284</v>
      </c>
      <c r="M2703" s="132">
        <v>10</v>
      </c>
      <c r="P2703" s="4" t="e">
        <f>VLOOKUP(H2703,Stock_list!A:Y,25,FALSE)</f>
        <v>#N/A</v>
      </c>
      <c r="Q2703" s="143"/>
      <c r="T2703" s="144"/>
      <c r="U2703" s="145" t="e">
        <f>VLOOKUP(H2703,Stock_list!A:N,14,FALSE)</f>
        <v>#N/A</v>
      </c>
    </row>
    <row r="2704" spans="1:21" ht="16.5" customHeight="1">
      <c r="A2704" s="159" t="s">
        <v>261</v>
      </c>
      <c r="B2704" s="114" t="str">
        <f>VLOOKUP(A2704,'Data pick slip'!B:F,5,FALSE)</f>
        <v>KHJ-MC100-00</v>
      </c>
      <c r="F2704" s="157" t="s">
        <v>379</v>
      </c>
      <c r="I2704" s="139" t="s">
        <v>533</v>
      </c>
      <c r="J2704" s="139" t="s">
        <v>469</v>
      </c>
      <c r="K2704" s="51" t="s">
        <v>225</v>
      </c>
      <c r="L2704" s="4">
        <v>44228</v>
      </c>
      <c r="M2704" s="140">
        <v>148</v>
      </c>
      <c r="P2704" s="4" t="s">
        <v>214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264</v>
      </c>
      <c r="B2705" s="114" t="str">
        <f>VLOOKUP(A2705,'Data pick slip'!B:F,5,FALSE)</f>
        <v>KHJ-MC200-00</v>
      </c>
      <c r="F2705" s="157" t="s">
        <v>227</v>
      </c>
      <c r="I2705" s="139" t="s">
        <v>533</v>
      </c>
      <c r="J2705" s="139" t="s">
        <v>469</v>
      </c>
      <c r="K2705" s="51" t="s">
        <v>225</v>
      </c>
      <c r="L2705" s="4">
        <v>44228</v>
      </c>
      <c r="M2705" s="140">
        <v>46</v>
      </c>
      <c r="P2705" s="4" t="s">
        <v>214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261</v>
      </c>
      <c r="B2706" s="114" t="str">
        <f>VLOOKUP(A2706,'Data pick slip'!B:F,5,FALSE)</f>
        <v>KHJ-MC100-00</v>
      </c>
      <c r="F2706" s="157" t="s">
        <v>227</v>
      </c>
      <c r="I2706" s="139" t="s">
        <v>533</v>
      </c>
      <c r="J2706" s="139" t="s">
        <v>934</v>
      </c>
      <c r="K2706" s="51" t="s">
        <v>225</v>
      </c>
      <c r="L2706" s="4">
        <v>44252</v>
      </c>
      <c r="M2706" s="140">
        <v>100</v>
      </c>
      <c r="P2706" s="4" t="s">
        <v>214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264</v>
      </c>
      <c r="B2707" s="114" t="str">
        <f>VLOOKUP(A2707,'Data pick slip'!B:F,5,FALSE)</f>
        <v>KHJ-MC200-00</v>
      </c>
      <c r="F2707" s="157" t="s">
        <v>227</v>
      </c>
      <c r="I2707" s="139" t="s">
        <v>533</v>
      </c>
      <c r="J2707" s="139" t="s">
        <v>934</v>
      </c>
      <c r="K2707" s="51" t="s">
        <v>225</v>
      </c>
      <c r="L2707" s="4">
        <v>44252</v>
      </c>
      <c r="M2707" s="140">
        <v>30</v>
      </c>
      <c r="P2707" s="4" t="s">
        <v>214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272</v>
      </c>
      <c r="B2708" s="114" t="str">
        <f>VLOOKUP(A2708,'Data pick slip'!B:F,5,FALSE)</f>
        <v>KLJ-MC100-00</v>
      </c>
      <c r="F2708" s="157" t="s">
        <v>227</v>
      </c>
      <c r="I2708" s="139" t="s">
        <v>533</v>
      </c>
      <c r="J2708" s="139" t="s">
        <v>934</v>
      </c>
      <c r="K2708" s="51" t="s">
        <v>225</v>
      </c>
      <c r="L2708" s="4">
        <v>44252</v>
      </c>
      <c r="M2708" s="140">
        <v>50</v>
      </c>
      <c r="P2708" s="4" t="s">
        <v>214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267</v>
      </c>
      <c r="B2709" s="114" t="str">
        <f>VLOOKUP(A2709,'Data pick slip'!B:F,5,FALSE)</f>
        <v>KHJ-MC600-00</v>
      </c>
      <c r="F2709" s="157" t="s">
        <v>227</v>
      </c>
      <c r="I2709" s="139" t="s">
        <v>533</v>
      </c>
      <c r="J2709" s="139" t="s">
        <v>934</v>
      </c>
      <c r="K2709" s="51" t="s">
        <v>225</v>
      </c>
      <c r="L2709" s="4">
        <v>44252</v>
      </c>
      <c r="M2709" s="140">
        <v>2</v>
      </c>
      <c r="P2709" s="4" t="s">
        <v>214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261</v>
      </c>
      <c r="B2710" s="114" t="str">
        <f>VLOOKUP(A2710,'Data pick slip'!B:F,5,FALSE)</f>
        <v>KHJ-MC100-00</v>
      </c>
      <c r="F2710" s="157" t="s">
        <v>227</v>
      </c>
      <c r="H2710" s="138">
        <v>1105</v>
      </c>
      <c r="I2710" s="139" t="e">
        <f>VLOOKUP(H2710,Stock_list!A:R,18,FALSE)</f>
        <v>#N/A</v>
      </c>
      <c r="J2710" s="139" t="e">
        <f>VLOOKUP(H2710,Stock_list!A:S,17,FALSE)</f>
        <v>#N/A</v>
      </c>
      <c r="K2710" s="51" t="e">
        <f>VLOOKUP(H2710,Stock_list!A:T,16,FALSE)</f>
        <v>#N/A</v>
      </c>
      <c r="L2710" s="4">
        <v>44313</v>
      </c>
      <c r="M2710" s="132">
        <v>133</v>
      </c>
      <c r="P2710" s="4" t="e">
        <f>VLOOKUP(H2710,Stock_list!A:Y,25,FALSE)</f>
        <v>#N/A</v>
      </c>
      <c r="Q2710" s="143"/>
      <c r="T2710" s="144"/>
      <c r="U2710" s="145" t="e">
        <f>VLOOKUP(H2710,Stock_list!A:N,14,FALSE)</f>
        <v>#N/A</v>
      </c>
    </row>
    <row r="2711" spans="1:21" ht="16.5" customHeight="1">
      <c r="A2711" s="159" t="s">
        <v>264</v>
      </c>
      <c r="B2711" s="114" t="str">
        <f>VLOOKUP(A2711,'Data pick slip'!B:F,5,FALSE)</f>
        <v>KHJ-MC200-00</v>
      </c>
      <c r="F2711" s="157" t="s">
        <v>227</v>
      </c>
      <c r="H2711" s="138">
        <v>1105</v>
      </c>
      <c r="I2711" s="139" t="e">
        <f>VLOOKUP(H2711,Stock_list!A:R,18,FALSE)</f>
        <v>#N/A</v>
      </c>
      <c r="J2711" s="139" t="e">
        <f>VLOOKUP(H2711,Stock_list!A:S,17,FALSE)</f>
        <v>#N/A</v>
      </c>
      <c r="K2711" s="51" t="e">
        <f>VLOOKUP(H2711,Stock_list!A:T,16,FALSE)</f>
        <v>#N/A</v>
      </c>
      <c r="L2711" s="4">
        <v>44313</v>
      </c>
      <c r="M2711" s="132">
        <v>35</v>
      </c>
      <c r="P2711" s="4" t="e">
        <f>VLOOKUP(H2711,Stock_list!A:Y,25,FALSE)</f>
        <v>#N/A</v>
      </c>
      <c r="Q2711" s="143"/>
      <c r="T2711" s="144"/>
      <c r="U2711" s="145" t="e">
        <f>VLOOKUP(H2711,Stock_list!A:N,14,FALSE)</f>
        <v>#N/A</v>
      </c>
    </row>
    <row r="2712" spans="1:21" ht="16.5" customHeight="1">
      <c r="A2712" s="159" t="s">
        <v>265</v>
      </c>
      <c r="B2712" s="114" t="str">
        <f>VLOOKUP(A2712,'Data pick slip'!B:F,5,FALSE)</f>
        <v>KHJ-MC400-00</v>
      </c>
      <c r="F2712" s="157" t="s">
        <v>227</v>
      </c>
      <c r="H2712" s="138">
        <v>1105</v>
      </c>
      <c r="I2712" s="139" t="e">
        <f>VLOOKUP(H2712,Stock_list!A:R,18,FALSE)</f>
        <v>#N/A</v>
      </c>
      <c r="J2712" s="139" t="e">
        <f>VLOOKUP(H2712,Stock_list!A:S,17,FALSE)</f>
        <v>#N/A</v>
      </c>
      <c r="K2712" s="51" t="e">
        <f>VLOOKUP(H2712,Stock_list!A:T,16,FALSE)</f>
        <v>#N/A</v>
      </c>
      <c r="L2712" s="4">
        <v>44313</v>
      </c>
      <c r="M2712" s="132">
        <v>10</v>
      </c>
      <c r="P2712" s="4" t="e">
        <f>VLOOKUP(H2712,Stock_list!A:Y,25,FALSE)</f>
        <v>#N/A</v>
      </c>
      <c r="Q2712" s="143"/>
      <c r="T2712" s="144"/>
      <c r="U2712" s="145" t="e">
        <f>VLOOKUP(H2712,Stock_list!A:N,14,FALSE)</f>
        <v>#N/A</v>
      </c>
    </row>
    <row r="2713" spans="1:21" ht="16.5" customHeight="1">
      <c r="A2713" s="159" t="s">
        <v>266</v>
      </c>
      <c r="B2713" s="114" t="str">
        <f>VLOOKUP(A2713,'Data pick slip'!B:F,5,FALSE)</f>
        <v>KHJ-MC500-00</v>
      </c>
      <c r="F2713" s="157" t="s">
        <v>227</v>
      </c>
      <c r="H2713" s="138">
        <v>1105</v>
      </c>
      <c r="I2713" s="139" t="e">
        <f>VLOOKUP(H2713,Stock_list!A:R,18,FALSE)</f>
        <v>#N/A</v>
      </c>
      <c r="J2713" s="139" t="e">
        <f>VLOOKUP(H2713,Stock_list!A:S,17,FALSE)</f>
        <v>#N/A</v>
      </c>
      <c r="K2713" s="51" t="e">
        <f>VLOOKUP(H2713,Stock_list!A:T,16,FALSE)</f>
        <v>#N/A</v>
      </c>
      <c r="L2713" s="4">
        <v>44313</v>
      </c>
      <c r="M2713" s="132">
        <v>5</v>
      </c>
      <c r="P2713" s="4" t="e">
        <f>VLOOKUP(H2713,Stock_list!A:Y,25,FALSE)</f>
        <v>#N/A</v>
      </c>
      <c r="Q2713" s="143"/>
      <c r="T2713" s="144"/>
      <c r="U2713" s="145" t="e">
        <f>VLOOKUP(H2713,Stock_list!A:N,14,FALSE)</f>
        <v>#N/A</v>
      </c>
    </row>
    <row r="2714" spans="1:21" ht="16.5" customHeight="1">
      <c r="A2714" s="159" t="s">
        <v>267</v>
      </c>
      <c r="B2714" s="114" t="str">
        <f>VLOOKUP(A2714,'Data pick slip'!B:F,5,FALSE)</f>
        <v>KHJ-MC600-00</v>
      </c>
      <c r="F2714" s="157" t="s">
        <v>227</v>
      </c>
      <c r="H2714" s="138">
        <v>1105</v>
      </c>
      <c r="I2714" s="139" t="e">
        <f>VLOOKUP(H2714,Stock_list!A:R,18,FALSE)</f>
        <v>#N/A</v>
      </c>
      <c r="J2714" s="139" t="e">
        <f>VLOOKUP(H2714,Stock_list!A:S,17,FALSE)</f>
        <v>#N/A</v>
      </c>
      <c r="K2714" s="51" t="e">
        <f>VLOOKUP(H2714,Stock_list!A:T,16,FALSE)</f>
        <v>#N/A</v>
      </c>
      <c r="L2714" s="4">
        <v>44313</v>
      </c>
      <c r="M2714" s="132">
        <v>2</v>
      </c>
      <c r="P2714" s="4" t="e">
        <f>VLOOKUP(H2714,Stock_list!A:Y,25,FALSE)</f>
        <v>#N/A</v>
      </c>
      <c r="Q2714" s="143"/>
      <c r="T2714" s="144"/>
      <c r="U2714" s="145" t="e">
        <f>VLOOKUP(H2714,Stock_list!A:N,14,FALSE)</f>
        <v>#N/A</v>
      </c>
    </row>
    <row r="2715" spans="1:21" ht="16.5" customHeight="1">
      <c r="A2715" s="159" t="s">
        <v>261</v>
      </c>
      <c r="B2715" s="114" t="str">
        <f>VLOOKUP(A2715,'Data pick slip'!B:F,5,FALSE)</f>
        <v>KHJ-MC100-00</v>
      </c>
      <c r="F2715" s="157" t="s">
        <v>227</v>
      </c>
      <c r="H2715" s="138">
        <v>1106</v>
      </c>
      <c r="I2715" s="139" t="e">
        <f>VLOOKUP(H2715,Stock_list!A:R,18,FALSE)</f>
        <v>#N/A</v>
      </c>
      <c r="J2715" s="139" t="e">
        <f>VLOOKUP(H2715,Stock_list!A:S,17,FALSE)</f>
        <v>#N/A</v>
      </c>
      <c r="K2715" s="51" t="e">
        <f>VLOOKUP(H2715,Stock_list!A:T,16,FALSE)</f>
        <v>#N/A</v>
      </c>
      <c r="L2715" s="4">
        <v>44288</v>
      </c>
      <c r="M2715" s="132">
        <v>23</v>
      </c>
      <c r="P2715" s="4" t="e">
        <f>VLOOKUP(H2715,Stock_list!A:Y,25,FALSE)</f>
        <v>#N/A</v>
      </c>
      <c r="T2715" s="144"/>
      <c r="U2715" s="145" t="e">
        <f>VLOOKUP(H2715,Stock_list!A:N,14,FALSE)</f>
        <v>#N/A</v>
      </c>
    </row>
    <row r="2716" spans="1:21" ht="16.5" customHeight="1">
      <c r="A2716" s="159" t="s">
        <v>264</v>
      </c>
      <c r="B2716" s="114" t="str">
        <f>VLOOKUP(A2716,'Data pick slip'!B:F,5,FALSE)</f>
        <v>KHJ-MC200-00</v>
      </c>
      <c r="F2716" s="157" t="s">
        <v>227</v>
      </c>
      <c r="H2716" s="138">
        <v>1106</v>
      </c>
      <c r="I2716" s="139" t="e">
        <f>VLOOKUP(H2716,Stock_list!A:R,18,FALSE)</f>
        <v>#N/A</v>
      </c>
      <c r="J2716" s="139" t="e">
        <f>VLOOKUP(H2716,Stock_list!A:S,17,FALSE)</f>
        <v>#N/A</v>
      </c>
      <c r="K2716" s="51" t="e">
        <f>VLOOKUP(H2716,Stock_list!A:T,16,FALSE)</f>
        <v>#N/A</v>
      </c>
      <c r="L2716" s="4">
        <v>44288</v>
      </c>
      <c r="M2716" s="132">
        <v>8</v>
      </c>
      <c r="P2716" s="4" t="e">
        <f>VLOOKUP(H2716,Stock_list!A:Y,25,FALSE)</f>
        <v>#N/A</v>
      </c>
      <c r="T2716" s="144"/>
      <c r="U2716" s="145" t="e">
        <f>VLOOKUP(H2716,Stock_list!A:N,14,FALSE)</f>
        <v>#N/A</v>
      </c>
    </row>
    <row r="2717" spans="1:21" ht="16.5" customHeight="1">
      <c r="A2717" s="159" t="s">
        <v>294</v>
      </c>
      <c r="B2717" s="114" t="str">
        <f>VLOOKUP(A2717,'Data pick slip'!B:F,5,FALSE)</f>
        <v>KHJ-MC400-00</v>
      </c>
      <c r="F2717" s="157" t="s">
        <v>270</v>
      </c>
      <c r="H2717" s="138">
        <v>1106</v>
      </c>
      <c r="I2717" s="139" t="e">
        <f>VLOOKUP(H2717,Stock_list!A:R,18,FALSE)</f>
        <v>#N/A</v>
      </c>
      <c r="J2717" s="139" t="e">
        <f>VLOOKUP(H2717,Stock_list!A:S,17,FALSE)</f>
        <v>#N/A</v>
      </c>
      <c r="K2717" s="51" t="e">
        <f>VLOOKUP(H2717,Stock_list!A:T,16,FALSE)</f>
        <v>#N/A</v>
      </c>
      <c r="L2717" s="4">
        <v>44288</v>
      </c>
      <c r="M2717" s="132">
        <v>1</v>
      </c>
      <c r="P2717" s="4" t="e">
        <f>VLOOKUP(H2717,Stock_list!A:Y,25,FALSE)</f>
        <v>#N/A</v>
      </c>
      <c r="S2717" s="268" t="s">
        <v>295</v>
      </c>
      <c r="T2717" s="266" t="s">
        <v>902</v>
      </c>
      <c r="U2717" s="145" t="e">
        <f>VLOOKUP(H2717,Stock_list!A:N,14,FALSE)</f>
        <v>#N/A</v>
      </c>
    </row>
    <row r="2718" spans="1:21" ht="16.5" customHeight="1">
      <c r="A2718" s="159" t="s">
        <v>266</v>
      </c>
      <c r="B2718" s="114" t="str">
        <f>VLOOKUP(A2718,'Data pick slip'!B:F,5,FALSE)</f>
        <v>KHJ-MC500-00</v>
      </c>
      <c r="F2718" s="157" t="s">
        <v>270</v>
      </c>
      <c r="H2718" s="138">
        <v>1106</v>
      </c>
      <c r="I2718" s="139" t="e">
        <f>VLOOKUP(H2718,Stock_list!A:R,18,FALSE)</f>
        <v>#N/A</v>
      </c>
      <c r="J2718" s="139" t="e">
        <f>VLOOKUP(H2718,Stock_list!A:S,17,FALSE)</f>
        <v>#N/A</v>
      </c>
      <c r="K2718" s="51" t="e">
        <f>VLOOKUP(H2718,Stock_list!A:T,16,FALSE)</f>
        <v>#N/A</v>
      </c>
      <c r="L2718" s="4">
        <v>44288</v>
      </c>
      <c r="M2718" s="132">
        <v>1</v>
      </c>
      <c r="P2718" s="4" t="e">
        <f>VLOOKUP(H2718,Stock_list!A:Y,25,FALSE)</f>
        <v>#N/A</v>
      </c>
      <c r="S2718" s="268" t="s">
        <v>295</v>
      </c>
      <c r="T2718" s="266" t="s">
        <v>902</v>
      </c>
      <c r="U2718" s="145" t="e">
        <f>VLOOKUP(H2718,Stock_list!A:N,14,FALSE)</f>
        <v>#N/A</v>
      </c>
    </row>
    <row r="2719" spans="1:21" ht="16.5" customHeight="1">
      <c r="A2719" s="159" t="s">
        <v>261</v>
      </c>
      <c r="B2719" s="114" t="str">
        <f>VLOOKUP(A2719,'Data pick slip'!B:F,5,FALSE)</f>
        <v>KHJ-MC100-00</v>
      </c>
      <c r="F2719" s="157" t="s">
        <v>227</v>
      </c>
      <c r="H2719" s="138">
        <v>1109</v>
      </c>
      <c r="I2719" s="139" t="e">
        <f>VLOOKUP(H2719,Stock_list!A:R,18,FALSE)</f>
        <v>#N/A</v>
      </c>
      <c r="J2719" s="139" t="e">
        <f>VLOOKUP(H2719,Stock_list!A:S,17,FALSE)</f>
        <v>#N/A</v>
      </c>
      <c r="K2719" s="51" t="e">
        <f>VLOOKUP(H2719,Stock_list!A:T,16,FALSE)</f>
        <v>#N/A</v>
      </c>
      <c r="L2719" s="4">
        <v>44277</v>
      </c>
      <c r="M2719" s="143">
        <v>100</v>
      </c>
      <c r="P2719" s="4" t="e">
        <f>VLOOKUP(H2719,Stock_list!A:Y,25,FALSE)</f>
        <v>#N/A</v>
      </c>
      <c r="Q2719" s="143"/>
      <c r="T2719" s="144"/>
      <c r="U2719" s="145" t="e">
        <f>VLOOKUP(H2719,Stock_list!A:N,14,FALSE)</f>
        <v>#N/A</v>
      </c>
    </row>
    <row r="2720" spans="1:21" ht="16.5" customHeight="1">
      <c r="A2720" s="159" t="s">
        <v>264</v>
      </c>
      <c r="B2720" s="114" t="str">
        <f>VLOOKUP(A2720,'Data pick slip'!B:F,5,FALSE)</f>
        <v>KHJ-MC200-00</v>
      </c>
      <c r="F2720" s="157" t="s">
        <v>227</v>
      </c>
      <c r="H2720" s="138">
        <v>1109</v>
      </c>
      <c r="I2720" s="139" t="e">
        <f>VLOOKUP(H2720,Stock_list!A:R,18,FALSE)</f>
        <v>#N/A</v>
      </c>
      <c r="J2720" s="139" t="e">
        <f>VLOOKUP(H2720,Stock_list!A:S,17,FALSE)</f>
        <v>#N/A</v>
      </c>
      <c r="K2720" s="51" t="e">
        <f>VLOOKUP(H2720,Stock_list!A:T,16,FALSE)</f>
        <v>#N/A</v>
      </c>
      <c r="L2720" s="4">
        <v>44277</v>
      </c>
      <c r="M2720" s="143">
        <v>20</v>
      </c>
      <c r="P2720" s="4" t="e">
        <f>VLOOKUP(H2720,Stock_list!A:Y,25,FALSE)</f>
        <v>#N/A</v>
      </c>
      <c r="Q2720" s="143"/>
      <c r="T2720" s="144"/>
      <c r="U2720" s="145" t="e">
        <f>VLOOKUP(H2720,Stock_list!A:N,14,FALSE)</f>
        <v>#N/A</v>
      </c>
    </row>
    <row r="2721" spans="1:21" ht="16.5" customHeight="1">
      <c r="A2721" s="159" t="s">
        <v>261</v>
      </c>
      <c r="B2721" s="114" t="str">
        <f>VLOOKUP(A2721,'Data pick slip'!B:F,5,FALSE)</f>
        <v>KHJ-MC100-00</v>
      </c>
      <c r="F2721" s="157" t="s">
        <v>227</v>
      </c>
      <c r="H2721" s="138">
        <v>1111</v>
      </c>
      <c r="I2721" s="139" t="e">
        <f>VLOOKUP(H2721,Stock_list!A:R,18,FALSE)</f>
        <v>#N/A</v>
      </c>
      <c r="J2721" s="139" t="e">
        <f>VLOOKUP(H2721,Stock_list!A:S,17,FALSE)</f>
        <v>#N/A</v>
      </c>
      <c r="K2721" s="51" t="e">
        <f>VLOOKUP(H2721,Stock_list!A:T,16,FALSE)</f>
        <v>#N/A</v>
      </c>
      <c r="L2721" s="4">
        <v>44286</v>
      </c>
      <c r="M2721" s="143">
        <v>28</v>
      </c>
      <c r="P2721" s="4" t="e">
        <f>VLOOKUP(H2721,Stock_list!A:Y,25,FALSE)</f>
        <v>#N/A</v>
      </c>
      <c r="Q2721" s="143"/>
      <c r="T2721" s="144"/>
      <c r="U2721" s="145" t="e">
        <f>VLOOKUP(H2721,Stock_list!A:N,14,FALSE)</f>
        <v>#N/A</v>
      </c>
    </row>
    <row r="2722" spans="1:21" ht="16.5" customHeight="1">
      <c r="A2722" s="159" t="s">
        <v>264</v>
      </c>
      <c r="B2722" s="114" t="str">
        <f>VLOOKUP(A2722,'Data pick slip'!B:F,5,FALSE)</f>
        <v>KHJ-MC200-00</v>
      </c>
      <c r="F2722" s="157" t="s">
        <v>227</v>
      </c>
      <c r="H2722" s="138">
        <v>1111</v>
      </c>
      <c r="I2722" s="139" t="e">
        <f>VLOOKUP(H2722,Stock_list!A:R,18,FALSE)</f>
        <v>#N/A</v>
      </c>
      <c r="J2722" s="139" t="e">
        <f>VLOOKUP(H2722,Stock_list!A:S,17,FALSE)</f>
        <v>#N/A</v>
      </c>
      <c r="K2722" s="51" t="e">
        <f>VLOOKUP(H2722,Stock_list!A:T,16,FALSE)</f>
        <v>#N/A</v>
      </c>
      <c r="L2722" s="4">
        <v>44286</v>
      </c>
      <c r="M2722" s="143">
        <v>1</v>
      </c>
      <c r="P2722" s="4" t="e">
        <f>VLOOKUP(H2722,Stock_list!A:Y,25,FALSE)</f>
        <v>#N/A</v>
      </c>
      <c r="Q2722" s="143"/>
      <c r="T2722" s="144"/>
      <c r="U2722" s="145" t="e">
        <f>VLOOKUP(H2722,Stock_list!A:N,14,FALSE)</f>
        <v>#N/A</v>
      </c>
    </row>
    <row r="2723" spans="1:21" ht="16.5" customHeight="1">
      <c r="A2723" s="159" t="s">
        <v>265</v>
      </c>
      <c r="B2723" s="114" t="str">
        <f>VLOOKUP(A2723,'Data pick slip'!B:F,5,FALSE)</f>
        <v>KHJ-MC400-00</v>
      </c>
      <c r="F2723" s="157" t="s">
        <v>270</v>
      </c>
      <c r="H2723" s="138">
        <v>1111</v>
      </c>
      <c r="I2723" s="139" t="e">
        <f>VLOOKUP(H2723,Stock_list!A:R,18,FALSE)</f>
        <v>#N/A</v>
      </c>
      <c r="J2723" s="139" t="e">
        <f>VLOOKUP(H2723,Stock_list!A:S,17,FALSE)</f>
        <v>#N/A</v>
      </c>
      <c r="K2723" s="51" t="e">
        <f>VLOOKUP(H2723,Stock_list!A:T,16,FALSE)</f>
        <v>#N/A</v>
      </c>
      <c r="L2723" s="4">
        <v>44286</v>
      </c>
      <c r="M2723" s="143">
        <v>1</v>
      </c>
      <c r="P2723" s="4" t="e">
        <f>VLOOKUP(H2723,Stock_list!A:Y,25,FALSE)</f>
        <v>#N/A</v>
      </c>
      <c r="Q2723" s="143"/>
      <c r="S2723" s="268" t="s">
        <v>295</v>
      </c>
      <c r="T2723" s="266" t="s">
        <v>902</v>
      </c>
      <c r="U2723" s="145" t="e">
        <f>VLOOKUP(H2723,Stock_list!A:N,14,FALSE)</f>
        <v>#N/A</v>
      </c>
    </row>
    <row r="2724" spans="1:21" ht="16.5" customHeight="1">
      <c r="A2724" s="159" t="s">
        <v>261</v>
      </c>
      <c r="B2724" s="114" t="str">
        <f>VLOOKUP(A2724,'Data pick slip'!B:F,5,FALSE)</f>
        <v>KHJ-MC100-00</v>
      </c>
      <c r="F2724" s="157" t="s">
        <v>227</v>
      </c>
      <c r="H2724" s="138">
        <v>1111</v>
      </c>
      <c r="I2724" s="139" t="e">
        <f>VLOOKUP(H2724,Stock_list!A:R,18,FALSE)</f>
        <v>#N/A</v>
      </c>
      <c r="J2724" s="139" t="e">
        <f>VLOOKUP(H2724,Stock_list!A:S,17,FALSE)</f>
        <v>#N/A</v>
      </c>
      <c r="K2724" s="51" t="e">
        <f>VLOOKUP(H2724,Stock_list!A:T,16,FALSE)</f>
        <v>#N/A</v>
      </c>
      <c r="L2724" s="4">
        <v>44256</v>
      </c>
      <c r="M2724" s="143">
        <v>28</v>
      </c>
      <c r="N2724" s="146"/>
      <c r="P2724" s="4" t="e">
        <f>VLOOKUP(H2724,Stock_list!A:Y,25,FALSE)</f>
        <v>#N/A</v>
      </c>
      <c r="Q2724" s="143"/>
      <c r="T2724" s="144"/>
      <c r="U2724" s="145" t="e">
        <f>VLOOKUP(H2724,Stock_list!A:N,14,FALSE)</f>
        <v>#N/A</v>
      </c>
    </row>
    <row r="2725" spans="1:21" ht="16.5" customHeight="1">
      <c r="A2725" s="159" t="s">
        <v>264</v>
      </c>
      <c r="B2725" s="114" t="str">
        <f>VLOOKUP(A2725,'Data pick slip'!B:F,5,FALSE)</f>
        <v>KHJ-MC200-00</v>
      </c>
      <c r="F2725" s="157" t="s">
        <v>227</v>
      </c>
      <c r="H2725" s="138">
        <v>1111</v>
      </c>
      <c r="I2725" s="139" t="e">
        <f>VLOOKUP(H2725,Stock_list!A:R,18,FALSE)</f>
        <v>#N/A</v>
      </c>
      <c r="J2725" s="139" t="e">
        <f>VLOOKUP(H2725,Stock_list!A:S,17,FALSE)</f>
        <v>#N/A</v>
      </c>
      <c r="K2725" s="51" t="e">
        <f>VLOOKUP(H2725,Stock_list!A:T,16,FALSE)</f>
        <v>#N/A</v>
      </c>
      <c r="L2725" s="4">
        <v>44256</v>
      </c>
      <c r="M2725" s="143">
        <v>1</v>
      </c>
      <c r="N2725" s="146"/>
      <c r="P2725" s="4" t="e">
        <f>VLOOKUP(H2725,Stock_list!A:Y,25,FALSE)</f>
        <v>#N/A</v>
      </c>
      <c r="Q2725" s="143"/>
      <c r="T2725" s="144"/>
      <c r="U2725" s="145" t="e">
        <f>VLOOKUP(H2725,Stock_list!A:N,14,FALSE)</f>
        <v>#N/A</v>
      </c>
    </row>
    <row r="2726" spans="1:21" ht="16.5" customHeight="1">
      <c r="A2726" s="159" t="s">
        <v>265</v>
      </c>
      <c r="B2726" s="114" t="str">
        <f>VLOOKUP(A2726,'Data pick slip'!B:F,5,FALSE)</f>
        <v>KHJ-MC400-00</v>
      </c>
      <c r="F2726" s="157" t="s">
        <v>227</v>
      </c>
      <c r="H2726" s="138">
        <v>1111</v>
      </c>
      <c r="I2726" s="139" t="e">
        <f>VLOOKUP(H2726,Stock_list!A:R,18,FALSE)</f>
        <v>#N/A</v>
      </c>
      <c r="J2726" s="139" t="e">
        <f>VLOOKUP(H2726,Stock_list!A:S,17,FALSE)</f>
        <v>#N/A</v>
      </c>
      <c r="K2726" s="51" t="e">
        <f>VLOOKUP(H2726,Stock_list!A:T,16,FALSE)</f>
        <v>#N/A</v>
      </c>
      <c r="L2726" s="4">
        <v>44256</v>
      </c>
      <c r="M2726" s="143">
        <v>1</v>
      </c>
      <c r="N2726" s="146"/>
      <c r="P2726" s="4" t="e">
        <f>VLOOKUP(H2726,Stock_list!A:Y,25,FALSE)</f>
        <v>#N/A</v>
      </c>
      <c r="Q2726" s="143"/>
      <c r="T2726" s="144"/>
      <c r="U2726" s="145" t="e">
        <f>VLOOKUP(H2726,Stock_list!A:N,14,FALSE)</f>
        <v>#N/A</v>
      </c>
    </row>
    <row r="2727" spans="1:21" ht="16.5" customHeight="1">
      <c r="A2727" s="159" t="s">
        <v>261</v>
      </c>
      <c r="B2727" s="114" t="str">
        <f>VLOOKUP(A2727,'Data pick slip'!B:F,5,FALSE)</f>
        <v>KHJ-MC100-00</v>
      </c>
      <c r="F2727" s="157" t="s">
        <v>227</v>
      </c>
      <c r="H2727" s="138">
        <v>1119</v>
      </c>
      <c r="I2727" s="139" t="e">
        <f>VLOOKUP(H2727,Stock_list!A:R,18,FALSE)</f>
        <v>#N/A</v>
      </c>
      <c r="J2727" s="139" t="e">
        <f>VLOOKUP(H2727,Stock_list!A:S,17,FALSE)</f>
        <v>#N/A</v>
      </c>
      <c r="K2727" s="51" t="e">
        <f>VLOOKUP(H2727,Stock_list!A:T,16,FALSE)</f>
        <v>#N/A</v>
      </c>
      <c r="L2727" s="4">
        <v>44277</v>
      </c>
      <c r="M2727" s="143">
        <v>400</v>
      </c>
      <c r="P2727" s="4" t="e">
        <f>VLOOKUP(H2727,Stock_list!A:Y,25,FALSE)</f>
        <v>#N/A</v>
      </c>
      <c r="Q2727" s="143"/>
      <c r="T2727" s="144"/>
      <c r="U2727" s="145" t="e">
        <f>VLOOKUP(H2727,Stock_list!A:N,14,FALSE)</f>
        <v>#N/A</v>
      </c>
    </row>
    <row r="2728" spans="1:21" ht="16.5" customHeight="1">
      <c r="A2728" s="159" t="s">
        <v>264</v>
      </c>
      <c r="B2728" s="114" t="str">
        <f>VLOOKUP(A2728,'Data pick slip'!B:F,5,FALSE)</f>
        <v>KHJ-MC200-00</v>
      </c>
      <c r="F2728" s="157" t="s">
        <v>227</v>
      </c>
      <c r="H2728" s="138">
        <v>1119</v>
      </c>
      <c r="I2728" s="139" t="e">
        <f>VLOOKUP(H2728,Stock_list!A:R,18,FALSE)</f>
        <v>#N/A</v>
      </c>
      <c r="J2728" s="139" t="e">
        <f>VLOOKUP(H2728,Stock_list!A:S,17,FALSE)</f>
        <v>#N/A</v>
      </c>
      <c r="K2728" s="51" t="e">
        <f>VLOOKUP(H2728,Stock_list!A:T,16,FALSE)</f>
        <v>#N/A</v>
      </c>
      <c r="L2728" s="4">
        <v>44277</v>
      </c>
      <c r="M2728" s="143">
        <v>60</v>
      </c>
      <c r="P2728" s="4" t="e">
        <f>VLOOKUP(H2728,Stock_list!A:Y,25,FALSE)</f>
        <v>#N/A</v>
      </c>
      <c r="Q2728" s="143"/>
      <c r="T2728" s="144"/>
      <c r="U2728" s="145" t="e">
        <f>VLOOKUP(H2728,Stock_list!A:N,14,FALSE)</f>
        <v>#N/A</v>
      </c>
    </row>
    <row r="2729" spans="1:21" ht="16.5" customHeight="1">
      <c r="A2729" s="159" t="s">
        <v>265</v>
      </c>
      <c r="B2729" s="114" t="str">
        <f>VLOOKUP(A2729,'Data pick slip'!B:F,5,FALSE)</f>
        <v>KHJ-MC400-00</v>
      </c>
      <c r="F2729" s="157" t="s">
        <v>227</v>
      </c>
      <c r="H2729" s="138">
        <v>1119</v>
      </c>
      <c r="I2729" s="139" t="e">
        <f>VLOOKUP(H2729,Stock_list!A:R,18,FALSE)</f>
        <v>#N/A</v>
      </c>
      <c r="J2729" s="139" t="e">
        <f>VLOOKUP(H2729,Stock_list!A:S,17,FALSE)</f>
        <v>#N/A</v>
      </c>
      <c r="K2729" s="51" t="e">
        <f>VLOOKUP(H2729,Stock_list!A:T,16,FALSE)</f>
        <v>#N/A</v>
      </c>
      <c r="L2729" s="4">
        <v>44277</v>
      </c>
      <c r="M2729" s="143">
        <v>11</v>
      </c>
      <c r="N2729" s="146"/>
      <c r="P2729" s="4" t="e">
        <f>VLOOKUP(H2729,Stock_list!A:Y,25,FALSE)</f>
        <v>#N/A</v>
      </c>
      <c r="Q2729" s="143"/>
      <c r="T2729" s="144"/>
      <c r="U2729" s="145" t="e">
        <f>VLOOKUP(H2729,Stock_list!A:N,14,FALSE)</f>
        <v>#N/A</v>
      </c>
    </row>
    <row r="2730" spans="1:21" ht="16.5" customHeight="1">
      <c r="A2730" s="159" t="s">
        <v>265</v>
      </c>
      <c r="B2730" s="281" t="str">
        <f>VLOOKUP(A2730,'Data pick slip'!B:F,5,FALSE)</f>
        <v>KHJ-MC400-00</v>
      </c>
      <c r="F2730" s="157" t="s">
        <v>270</v>
      </c>
      <c r="H2730" s="138">
        <v>1119</v>
      </c>
      <c r="I2730" s="139" t="e">
        <f>VLOOKUP(H2730,Stock_list!A:R,18,FALSE)</f>
        <v>#N/A</v>
      </c>
      <c r="J2730" s="139" t="e">
        <f>VLOOKUP(H2730,Stock_list!A:S,17,FALSE)</f>
        <v>#N/A</v>
      </c>
      <c r="K2730" s="51" t="e">
        <f>VLOOKUP(H2730,Stock_list!A:T,16,FALSE)</f>
        <v>#N/A</v>
      </c>
      <c r="L2730" s="4">
        <v>44277</v>
      </c>
      <c r="M2730" s="143">
        <v>9</v>
      </c>
      <c r="N2730" s="146"/>
      <c r="P2730" s="4" t="e">
        <f>VLOOKUP(H2730,Stock_list!A:Y,25,FALSE)</f>
        <v>#N/A</v>
      </c>
      <c r="Q2730" s="143"/>
      <c r="S2730" s="268" t="s">
        <v>295</v>
      </c>
      <c r="T2730" s="266" t="s">
        <v>935</v>
      </c>
      <c r="U2730" s="145" t="e">
        <f>VLOOKUP(H2730,Stock_list!A:N,14,FALSE)</f>
        <v>#N/A</v>
      </c>
    </row>
    <row r="2731" spans="1:21" ht="16.5" customHeight="1">
      <c r="A2731" s="159" t="s">
        <v>266</v>
      </c>
      <c r="B2731" s="281" t="str">
        <f>VLOOKUP(A2731,'Data pick slip'!B:F,5,FALSE)</f>
        <v>KHJ-MC500-00</v>
      </c>
      <c r="F2731" s="157" t="s">
        <v>270</v>
      </c>
      <c r="H2731" s="138">
        <v>1119</v>
      </c>
      <c r="I2731" s="139" t="e">
        <f>VLOOKUP(H2731,Stock_list!A:R,18,FALSE)</f>
        <v>#N/A</v>
      </c>
      <c r="J2731" s="139" t="e">
        <f>VLOOKUP(H2731,Stock_list!A:S,17,FALSE)</f>
        <v>#N/A</v>
      </c>
      <c r="K2731" s="51" t="e">
        <f>VLOOKUP(H2731,Stock_list!A:T,16,FALSE)</f>
        <v>#N/A</v>
      </c>
      <c r="L2731" s="4">
        <v>44277</v>
      </c>
      <c r="M2731" s="143">
        <v>3</v>
      </c>
      <c r="N2731" s="146"/>
      <c r="P2731" s="4" t="e">
        <f>VLOOKUP(H2731,Stock_list!A:Y,25,FALSE)</f>
        <v>#N/A</v>
      </c>
      <c r="Q2731" s="143"/>
      <c r="S2731" s="268" t="s">
        <v>295</v>
      </c>
      <c r="T2731" s="266" t="s">
        <v>935</v>
      </c>
      <c r="U2731" s="145" t="e">
        <f>VLOOKUP(H2731,Stock_list!A:N,14,FALSE)</f>
        <v>#N/A</v>
      </c>
    </row>
    <row r="2732" spans="1:21" ht="16.5" customHeight="1">
      <c r="A2732" s="159" t="s">
        <v>267</v>
      </c>
      <c r="B2732" s="114" t="str">
        <f>VLOOKUP(A2732,'Data pick slip'!B:F,5,FALSE)</f>
        <v>KHJ-MC600-00</v>
      </c>
      <c r="F2732" s="157" t="s">
        <v>227</v>
      </c>
      <c r="H2732" s="138">
        <v>1119</v>
      </c>
      <c r="I2732" s="139" t="e">
        <f>VLOOKUP(H2732,Stock_list!A:R,18,FALSE)</f>
        <v>#N/A</v>
      </c>
      <c r="J2732" s="139" t="e">
        <f>VLOOKUP(H2732,Stock_list!A:S,17,FALSE)</f>
        <v>#N/A</v>
      </c>
      <c r="K2732" s="51" t="e">
        <f>VLOOKUP(H2732,Stock_list!A:T,16,FALSE)</f>
        <v>#N/A</v>
      </c>
      <c r="L2732" s="4">
        <v>44277</v>
      </c>
      <c r="M2732" s="143">
        <v>2</v>
      </c>
      <c r="N2732" s="146"/>
      <c r="P2732" s="4" t="e">
        <f>VLOOKUP(H2732,Stock_list!A:Y,25,FALSE)</f>
        <v>#N/A</v>
      </c>
      <c r="Q2732" s="143"/>
      <c r="T2732" s="144"/>
      <c r="U2732" s="145" t="e">
        <f>VLOOKUP(H2732,Stock_list!A:N,14,FALSE)</f>
        <v>#N/A</v>
      </c>
    </row>
    <row r="2733" spans="1:21" ht="16.5" customHeight="1">
      <c r="A2733" s="159" t="s">
        <v>268</v>
      </c>
      <c r="B2733" s="114" t="str">
        <f>VLOOKUP(A2733,'Data pick slip'!B:F,5,FALSE)</f>
        <v>KHJ-MC700-00</v>
      </c>
      <c r="F2733" s="157" t="s">
        <v>227</v>
      </c>
      <c r="H2733" s="138">
        <v>1119</v>
      </c>
      <c r="I2733" s="139" t="e">
        <f>VLOOKUP(H2733,Stock_list!A:R,18,FALSE)</f>
        <v>#N/A</v>
      </c>
      <c r="J2733" s="139" t="e">
        <f>VLOOKUP(H2733,Stock_list!A:S,17,FALSE)</f>
        <v>#N/A</v>
      </c>
      <c r="K2733" s="51" t="e">
        <f>VLOOKUP(H2733,Stock_list!A:T,16,FALSE)</f>
        <v>#N/A</v>
      </c>
      <c r="L2733" s="4">
        <v>44334</v>
      </c>
      <c r="M2733" s="140">
        <v>1</v>
      </c>
      <c r="N2733" s="143"/>
      <c r="P2733" s="4" t="e">
        <f>VLOOKUP(H2733,Stock_list!A:Y,25,FALSE)</f>
        <v>#N/A</v>
      </c>
      <c r="Q2733" s="143"/>
      <c r="S2733" s="268" t="s">
        <v>295</v>
      </c>
      <c r="T2733" s="266" t="s">
        <v>936</v>
      </c>
      <c r="U2733" s="145" t="e">
        <f>VLOOKUP(H2733,Stock_list!A:N,14,FALSE)</f>
        <v>#N/A</v>
      </c>
    </row>
    <row r="2734" spans="1:21" ht="16.5" customHeight="1">
      <c r="A2734" s="159" t="s">
        <v>261</v>
      </c>
      <c r="B2734" s="114" t="str">
        <f>VLOOKUP(A2734,'Data pick slip'!B:F,5,FALSE)</f>
        <v>KHJ-MC100-00</v>
      </c>
      <c r="F2734" s="157" t="s">
        <v>227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264</v>
      </c>
      <c r="B2735" s="114" t="str">
        <f>VLOOKUP(A2735,'Data pick slip'!B:F,5,FALSE)</f>
        <v>KHJ-MC200-00</v>
      </c>
      <c r="F2735" s="157" t="s">
        <v>227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265</v>
      </c>
      <c r="B2736" s="114" t="str">
        <f>VLOOKUP(A2736,'Data pick slip'!B:F,5,FALSE)</f>
        <v>KHJ-MC400-00</v>
      </c>
      <c r="F2736" s="157" t="s">
        <v>227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272</v>
      </c>
      <c r="B2737" s="114" t="str">
        <f>VLOOKUP(A2737,'Data pick slip'!B:F,5,FALSE)</f>
        <v>KLJ-MC100-00</v>
      </c>
      <c r="F2737" s="157" t="s">
        <v>227</v>
      </c>
      <c r="H2737" s="138">
        <v>1128</v>
      </c>
      <c r="I2737" s="139" t="e">
        <f>VLOOKUP(H2737,Stock_list!A:R,18,FALSE)</f>
        <v>#N/A</v>
      </c>
      <c r="J2737" s="139" t="e">
        <f>VLOOKUP(H2737,Stock_list!A:S,17,FALSE)</f>
        <v>#N/A</v>
      </c>
      <c r="K2737" s="51" t="e">
        <f>VLOOKUP(H2737,Stock_list!A:T,16,FALSE)</f>
        <v>#N/A</v>
      </c>
      <c r="L2737" s="4">
        <v>44307</v>
      </c>
      <c r="M2737" s="143">
        <v>50</v>
      </c>
      <c r="P2737" s="4" t="e">
        <f>VLOOKUP(H2737,Stock_list!A:Y,25,FALSE)</f>
        <v>#N/A</v>
      </c>
      <c r="T2737" s="144"/>
      <c r="U2737" s="145" t="e">
        <f>VLOOKUP(H2737,Stock_list!A:N,14,FALSE)</f>
        <v>#N/A</v>
      </c>
    </row>
    <row r="2738" spans="1:21" ht="16.5" customHeight="1">
      <c r="A2738" s="159" t="s">
        <v>273</v>
      </c>
      <c r="B2738" s="114" t="str">
        <f>VLOOKUP(A2738,'Data pick slip'!B:F,5,FALSE)</f>
        <v>KLJ-MC200-00</v>
      </c>
      <c r="F2738" s="157" t="s">
        <v>227</v>
      </c>
      <c r="H2738" s="138">
        <v>1128</v>
      </c>
      <c r="I2738" s="139" t="e">
        <f>VLOOKUP(H2738,Stock_list!A:R,18,FALSE)</f>
        <v>#N/A</v>
      </c>
      <c r="J2738" s="139" t="e">
        <f>VLOOKUP(H2738,Stock_list!A:S,17,FALSE)</f>
        <v>#N/A</v>
      </c>
      <c r="K2738" s="51" t="e">
        <f>VLOOKUP(H2738,Stock_list!A:T,16,FALSE)</f>
        <v>#N/A</v>
      </c>
      <c r="L2738" s="4">
        <v>44307</v>
      </c>
      <c r="M2738" s="143">
        <v>10</v>
      </c>
      <c r="P2738" s="4" t="e">
        <f>VLOOKUP(H2738,Stock_list!A:Y,25,FALSE)</f>
        <v>#N/A</v>
      </c>
      <c r="T2738" s="144"/>
      <c r="U2738" s="145" t="e">
        <f>VLOOKUP(H2738,Stock_list!A:N,14,FALSE)</f>
        <v>#N/A</v>
      </c>
    </row>
    <row r="2739" spans="1:21" ht="16.5" customHeight="1">
      <c r="A2739" s="159" t="s">
        <v>275</v>
      </c>
      <c r="B2739" s="114" t="str">
        <f>VLOOKUP(A2739,'Data pick slip'!B:F,5,FALSE)</f>
        <v>KLJ-MC500-00</v>
      </c>
      <c r="F2739" s="157" t="s">
        <v>227</v>
      </c>
      <c r="H2739" s="138">
        <v>1128</v>
      </c>
      <c r="I2739" s="139" t="e">
        <f>VLOOKUP(H2739,Stock_list!A:R,18,FALSE)</f>
        <v>#N/A</v>
      </c>
      <c r="J2739" s="139" t="e">
        <f>VLOOKUP(H2739,Stock_list!A:S,17,FALSE)</f>
        <v>#N/A</v>
      </c>
      <c r="K2739" s="51" t="e">
        <f>VLOOKUP(H2739,Stock_list!A:T,16,FALSE)</f>
        <v>#N/A</v>
      </c>
      <c r="L2739" s="4">
        <v>44307</v>
      </c>
      <c r="M2739" s="143">
        <v>1</v>
      </c>
      <c r="P2739" s="4" t="e">
        <f>VLOOKUP(H2739,Stock_list!A:Y,25,FALSE)</f>
        <v>#N/A</v>
      </c>
      <c r="T2739" s="144"/>
      <c r="U2739" s="145" t="e">
        <f>VLOOKUP(H2739,Stock_list!A:N,14,FALSE)</f>
        <v>#N/A</v>
      </c>
    </row>
    <row r="2740" spans="1:21" ht="16.5" customHeight="1">
      <c r="A2740" s="159" t="s">
        <v>261</v>
      </c>
      <c r="B2740" s="114" t="str">
        <f>VLOOKUP(A2740,'Data pick slip'!B:F,5,FALSE)</f>
        <v>KHJ-MC100-00</v>
      </c>
      <c r="F2740" s="157" t="s">
        <v>270</v>
      </c>
      <c r="H2740" s="138">
        <v>1131</v>
      </c>
      <c r="I2740" s="139" t="e">
        <f>VLOOKUP(H2740,Stock_list!A:R,18,FALSE)</f>
        <v>#N/A</v>
      </c>
      <c r="J2740" s="139" t="e">
        <f>VLOOKUP(H2740,Stock_list!A:S,17,FALSE)</f>
        <v>#N/A</v>
      </c>
      <c r="K2740" s="51" t="e">
        <f>VLOOKUP(H2740,Stock_list!A:T,16,FALSE)</f>
        <v>#N/A</v>
      </c>
      <c r="L2740" s="4">
        <v>44358</v>
      </c>
      <c r="M2740" s="143">
        <v>50</v>
      </c>
      <c r="P2740" s="4" t="e">
        <f>VLOOKUP(H2740,Stock_list!A:Y,25,FALSE)</f>
        <v>#N/A</v>
      </c>
      <c r="T2740" s="144"/>
      <c r="U2740" s="145" t="e">
        <f>VLOOKUP(H2740,Stock_list!A:N,14,FALSE)</f>
        <v>#N/A</v>
      </c>
    </row>
    <row r="2741" spans="1:21" ht="16.5" customHeight="1">
      <c r="A2741" s="159" t="s">
        <v>264</v>
      </c>
      <c r="B2741" s="114" t="str">
        <f>VLOOKUP(A2741,'Data pick slip'!B:F,5,FALSE)</f>
        <v>KHJ-MC200-00</v>
      </c>
      <c r="F2741" s="157" t="s">
        <v>270</v>
      </c>
      <c r="H2741" s="138">
        <v>1131</v>
      </c>
      <c r="I2741" s="139" t="e">
        <f>VLOOKUP(H2741,Stock_list!A:R,18,FALSE)</f>
        <v>#N/A</v>
      </c>
      <c r="J2741" s="139" t="e">
        <f>VLOOKUP(H2741,Stock_list!A:S,17,FALSE)</f>
        <v>#N/A</v>
      </c>
      <c r="K2741" s="51" t="e">
        <f>VLOOKUP(H2741,Stock_list!A:T,16,FALSE)</f>
        <v>#N/A</v>
      </c>
      <c r="L2741" s="4">
        <v>44358</v>
      </c>
      <c r="M2741" s="143">
        <v>5</v>
      </c>
      <c r="P2741" s="4" t="e">
        <f>VLOOKUP(H2741,Stock_list!A:Y,25,FALSE)</f>
        <v>#N/A</v>
      </c>
      <c r="T2741" s="144"/>
      <c r="U2741" s="145" t="e">
        <f>VLOOKUP(H2741,Stock_list!A:N,14,FALSE)</f>
        <v>#N/A</v>
      </c>
    </row>
    <row r="2742" spans="1:21" ht="16.5" customHeight="1">
      <c r="A2742" s="159" t="s">
        <v>261</v>
      </c>
      <c r="B2742" s="114" t="str">
        <f>VLOOKUP(A2742,'Data pick slip'!B:F,5,FALSE)</f>
        <v>KHJ-MC100-00</v>
      </c>
      <c r="F2742" s="157" t="s">
        <v>227</v>
      </c>
      <c r="H2742" s="138">
        <v>1132</v>
      </c>
      <c r="I2742" s="139" t="e">
        <f>VLOOKUP(H2742,Stock_list!A:R,18,FALSE)</f>
        <v>#N/A</v>
      </c>
      <c r="J2742" s="139" t="e">
        <f>VLOOKUP(H2742,Stock_list!A:S,17,FALSE)</f>
        <v>#N/A</v>
      </c>
      <c r="K2742" s="51" t="e">
        <f>VLOOKUP(H2742,Stock_list!A:T,16,FALSE)</f>
        <v>#N/A</v>
      </c>
      <c r="L2742" s="4">
        <v>44333</v>
      </c>
      <c r="M2742" s="132">
        <v>70</v>
      </c>
      <c r="P2742" s="4" t="e">
        <f>VLOOKUP(H2742,Stock_list!A:Y,25,FALSE)</f>
        <v>#N/A</v>
      </c>
      <c r="Q2742" s="143"/>
      <c r="T2742" s="144"/>
      <c r="U2742" s="145" t="e">
        <f>VLOOKUP(H2742,Stock_list!A:N,14,FALSE)</f>
        <v>#N/A</v>
      </c>
    </row>
    <row r="2743" spans="1:21" ht="16.5" customHeight="1">
      <c r="A2743" s="159" t="s">
        <v>264</v>
      </c>
      <c r="B2743" s="114" t="str">
        <f>VLOOKUP(A2743,'Data pick slip'!B:F,5,FALSE)</f>
        <v>KHJ-MC200-00</v>
      </c>
      <c r="F2743" s="157" t="s">
        <v>227</v>
      </c>
      <c r="H2743" s="138">
        <v>1132</v>
      </c>
      <c r="I2743" s="139" t="e">
        <f>VLOOKUP(H2743,Stock_list!A:R,18,FALSE)</f>
        <v>#N/A</v>
      </c>
      <c r="J2743" s="139" t="e">
        <f>VLOOKUP(H2743,Stock_list!A:S,17,FALSE)</f>
        <v>#N/A</v>
      </c>
      <c r="K2743" s="51" t="e">
        <f>VLOOKUP(H2743,Stock_list!A:T,16,FALSE)</f>
        <v>#N/A</v>
      </c>
      <c r="L2743" s="4">
        <v>44333</v>
      </c>
      <c r="M2743" s="132">
        <v>26</v>
      </c>
      <c r="P2743" s="4" t="e">
        <f>VLOOKUP(H2743,Stock_list!A:Y,25,FALSE)</f>
        <v>#N/A</v>
      </c>
      <c r="Q2743" s="143"/>
      <c r="T2743" s="144"/>
      <c r="U2743" s="145" t="e">
        <f>VLOOKUP(H2743,Stock_list!A:N,14,FALSE)</f>
        <v>#N/A</v>
      </c>
    </row>
    <row r="2744" spans="1:21" ht="16.5" customHeight="1">
      <c r="A2744" s="159" t="s">
        <v>265</v>
      </c>
      <c r="B2744" s="114" t="str">
        <f>VLOOKUP(A2744,'Data pick slip'!B:F,5,FALSE)</f>
        <v>KHJ-MC400-00</v>
      </c>
      <c r="F2744" s="157" t="s">
        <v>227</v>
      </c>
      <c r="H2744" s="138">
        <v>1132</v>
      </c>
      <c r="I2744" s="139" t="e">
        <f>VLOOKUP(H2744,Stock_list!A:R,18,FALSE)</f>
        <v>#N/A</v>
      </c>
      <c r="J2744" s="139" t="e">
        <f>VLOOKUP(H2744,Stock_list!A:S,17,FALSE)</f>
        <v>#N/A</v>
      </c>
      <c r="K2744" s="51" t="e">
        <f>VLOOKUP(H2744,Stock_list!A:T,16,FALSE)</f>
        <v>#N/A</v>
      </c>
      <c r="L2744" s="4">
        <v>44333</v>
      </c>
      <c r="M2744" s="132">
        <v>6</v>
      </c>
      <c r="P2744" s="4" t="e">
        <f>VLOOKUP(H2744,Stock_list!A:Y,25,FALSE)</f>
        <v>#N/A</v>
      </c>
      <c r="Q2744" s="143"/>
      <c r="T2744" s="144"/>
      <c r="U2744" s="145" t="e">
        <f>VLOOKUP(H2744,Stock_list!A:N,14,FALSE)</f>
        <v>#N/A</v>
      </c>
    </row>
    <row r="2745" spans="1:21" ht="16.5" customHeight="1">
      <c r="A2745" s="159" t="s">
        <v>261</v>
      </c>
      <c r="B2745" s="114" t="str">
        <f>VLOOKUP(A2745,'Data pick slip'!B:F,5,FALSE)</f>
        <v>KHJ-MC100-00</v>
      </c>
      <c r="F2745" s="157" t="s">
        <v>227</v>
      </c>
      <c r="H2745" s="138">
        <v>1135</v>
      </c>
      <c r="I2745" s="139" t="e">
        <f>VLOOKUP(H2745,Stock_list!A:R,18,FALSE)</f>
        <v>#N/A</v>
      </c>
      <c r="J2745" s="139" t="e">
        <f>VLOOKUP(H2745,Stock_list!A:S,17,FALSE)</f>
        <v>#N/A</v>
      </c>
      <c r="K2745" s="51" t="e">
        <f>VLOOKUP(H2745,Stock_list!A:T,16,FALSE)</f>
        <v>#N/A</v>
      </c>
      <c r="L2745" s="4">
        <v>44328</v>
      </c>
      <c r="M2745" s="140">
        <v>30</v>
      </c>
      <c r="P2745" s="4" t="e">
        <f>VLOOKUP(H2745,Stock_list!A:Y,25,FALSE)</f>
        <v>#N/A</v>
      </c>
      <c r="Q2745" s="143"/>
      <c r="T2745" s="144"/>
      <c r="U2745" s="145" t="e">
        <f>VLOOKUP(H2745,Stock_list!A:N,14,FALSE)</f>
        <v>#N/A</v>
      </c>
    </row>
    <row r="2746" spans="1:21" ht="16.5" customHeight="1">
      <c r="A2746" s="159" t="s">
        <v>261</v>
      </c>
      <c r="B2746" s="114" t="str">
        <f>VLOOKUP(A2746,'Data pick slip'!B:F,5,FALSE)</f>
        <v>KHJ-MC100-00</v>
      </c>
      <c r="F2746" s="157" t="s">
        <v>227</v>
      </c>
      <c r="H2746" s="138">
        <v>1136</v>
      </c>
      <c r="I2746" s="139" t="e">
        <f>VLOOKUP(H2746,Stock_list!A:R,18,FALSE)</f>
        <v>#N/A</v>
      </c>
      <c r="J2746" s="139" t="e">
        <f>VLOOKUP(H2746,Stock_list!A:S,17,FALSE)</f>
        <v>#N/A</v>
      </c>
      <c r="K2746" s="51" t="e">
        <f>VLOOKUP(H2746,Stock_list!A:T,16,FALSE)</f>
        <v>#N/A</v>
      </c>
      <c r="L2746" s="4">
        <v>44329</v>
      </c>
      <c r="M2746" s="143">
        <v>90</v>
      </c>
      <c r="P2746" s="4" t="e">
        <f>VLOOKUP(H2746,Stock_list!A:Y,25,FALSE)</f>
        <v>#N/A</v>
      </c>
      <c r="T2746" s="144"/>
      <c r="U2746" s="145" t="e">
        <f>VLOOKUP(H2746,Stock_list!A:N,14,FALSE)</f>
        <v>#N/A</v>
      </c>
    </row>
    <row r="2747" spans="1:21" ht="16.5" customHeight="1">
      <c r="A2747" s="159" t="s">
        <v>264</v>
      </c>
      <c r="B2747" s="114" t="str">
        <f>VLOOKUP(A2747,'Data pick slip'!B:F,5,FALSE)</f>
        <v>KHJ-MC200-00</v>
      </c>
      <c r="F2747" s="157" t="s">
        <v>227</v>
      </c>
      <c r="H2747" s="138">
        <v>1136</v>
      </c>
      <c r="I2747" s="139" t="e">
        <f>VLOOKUP(H2747,Stock_list!A:R,18,FALSE)</f>
        <v>#N/A</v>
      </c>
      <c r="J2747" s="139" t="e">
        <f>VLOOKUP(H2747,Stock_list!A:S,17,FALSE)</f>
        <v>#N/A</v>
      </c>
      <c r="K2747" s="51" t="e">
        <f>VLOOKUP(H2747,Stock_list!A:T,16,FALSE)</f>
        <v>#N/A</v>
      </c>
      <c r="L2747" s="4">
        <v>44329</v>
      </c>
      <c r="M2747" s="143">
        <v>25</v>
      </c>
      <c r="P2747" s="4" t="e">
        <f>VLOOKUP(H2747,Stock_list!A:Y,25,FALSE)</f>
        <v>#N/A</v>
      </c>
      <c r="T2747" s="144"/>
      <c r="U2747" s="145" t="e">
        <f>VLOOKUP(H2747,Stock_list!A:N,14,FALSE)</f>
        <v>#N/A</v>
      </c>
    </row>
    <row r="2748" spans="1:21" ht="16.5" customHeight="1">
      <c r="A2748" s="159" t="s">
        <v>265</v>
      </c>
      <c r="B2748" s="114" t="str">
        <f>VLOOKUP(A2748,'Data pick slip'!B:F,5,FALSE)</f>
        <v>KHJ-MC400-00</v>
      </c>
      <c r="F2748" s="157" t="s">
        <v>227</v>
      </c>
      <c r="H2748" s="138">
        <v>1136</v>
      </c>
      <c r="I2748" s="139" t="e">
        <f>VLOOKUP(H2748,Stock_list!A:R,18,FALSE)</f>
        <v>#N/A</v>
      </c>
      <c r="J2748" s="139" t="e">
        <f>VLOOKUP(H2748,Stock_list!A:S,17,FALSE)</f>
        <v>#N/A</v>
      </c>
      <c r="K2748" s="51" t="e">
        <f>VLOOKUP(H2748,Stock_list!A:T,16,FALSE)</f>
        <v>#N/A</v>
      </c>
      <c r="L2748" s="4">
        <v>44329</v>
      </c>
      <c r="M2748" s="143">
        <v>4</v>
      </c>
      <c r="P2748" s="4" t="e">
        <f>VLOOKUP(H2748,Stock_list!A:Y,25,FALSE)</f>
        <v>#N/A</v>
      </c>
      <c r="T2748" s="144"/>
      <c r="U2748" s="145" t="e">
        <f>VLOOKUP(H2748,Stock_list!A:N,14,FALSE)</f>
        <v>#N/A</v>
      </c>
    </row>
    <row r="2749" spans="1:21" ht="16.5" customHeight="1">
      <c r="A2749" s="159" t="s">
        <v>261</v>
      </c>
      <c r="B2749" s="114" t="str">
        <f>VLOOKUP(A2749,'Data pick slip'!B:F,5,FALSE)</f>
        <v>KHJ-MC100-00</v>
      </c>
      <c r="F2749" s="157" t="s">
        <v>227</v>
      </c>
      <c r="H2749" s="138">
        <v>1138</v>
      </c>
      <c r="I2749" s="139" t="e">
        <f>VLOOKUP(H2749,Stock_list!A:R,18,FALSE)</f>
        <v>#N/A</v>
      </c>
      <c r="J2749" s="139" t="e">
        <f>VLOOKUP(H2749,Stock_list!A:S,17,FALSE)</f>
        <v>#N/A</v>
      </c>
      <c r="K2749" s="51" t="e">
        <f>VLOOKUP(H2749,Stock_list!A:T,16,FALSE)</f>
        <v>#N/A</v>
      </c>
      <c r="L2749" s="4">
        <v>44333</v>
      </c>
      <c r="M2749" s="140">
        <v>40</v>
      </c>
      <c r="P2749" s="4" t="e">
        <f>VLOOKUP(H2749,Stock_list!A:Y,25,FALSE)</f>
        <v>#N/A</v>
      </c>
      <c r="Q2749" s="143"/>
      <c r="T2749" s="144"/>
      <c r="U2749" s="145" t="e">
        <f>VLOOKUP(H2749,Stock_list!A:N,14,FALSE)</f>
        <v>#N/A</v>
      </c>
    </row>
    <row r="2750" spans="1:21" ht="16.5" customHeight="1">
      <c r="A2750" s="159" t="s">
        <v>264</v>
      </c>
      <c r="B2750" s="114" t="str">
        <f>VLOOKUP(A2750,'Data pick slip'!B:F,5,FALSE)</f>
        <v>KHJ-MC200-00</v>
      </c>
      <c r="F2750" s="157" t="s">
        <v>227</v>
      </c>
      <c r="H2750" s="138">
        <v>1138</v>
      </c>
      <c r="I2750" s="139" t="e">
        <f>VLOOKUP(H2750,Stock_list!A:R,18,FALSE)</f>
        <v>#N/A</v>
      </c>
      <c r="J2750" s="139" t="e">
        <f>VLOOKUP(H2750,Stock_list!A:S,17,FALSE)</f>
        <v>#N/A</v>
      </c>
      <c r="K2750" s="51" t="e">
        <f>VLOOKUP(H2750,Stock_list!A:T,16,FALSE)</f>
        <v>#N/A</v>
      </c>
      <c r="L2750" s="4">
        <v>44333</v>
      </c>
      <c r="M2750" s="140">
        <v>10</v>
      </c>
      <c r="P2750" s="4" t="e">
        <f>VLOOKUP(H2750,Stock_list!A:Y,25,FALSE)</f>
        <v>#N/A</v>
      </c>
      <c r="Q2750" s="143"/>
      <c r="T2750" s="144"/>
      <c r="U2750" s="145" t="e">
        <f>VLOOKUP(H2750,Stock_list!A:N,14,FALSE)</f>
        <v>#N/A</v>
      </c>
    </row>
    <row r="2751" spans="1:21" ht="16.5" customHeight="1">
      <c r="A2751" s="159" t="s">
        <v>264</v>
      </c>
      <c r="B2751" s="114" t="str">
        <f>VLOOKUP(A2751,'Data pick slip'!B:F,5,FALSE)</f>
        <v>KHJ-MC200-00</v>
      </c>
      <c r="F2751" s="157" t="s">
        <v>270</v>
      </c>
      <c r="I2751" s="139" t="s">
        <v>617</v>
      </c>
      <c r="J2751" s="270" t="s">
        <v>937</v>
      </c>
      <c r="K2751" s="51" t="s">
        <v>225</v>
      </c>
      <c r="L2751" s="4">
        <v>44247</v>
      </c>
      <c r="M2751" s="140">
        <v>3</v>
      </c>
      <c r="P2751" s="4" t="s">
        <v>214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261</v>
      </c>
      <c r="B2752" s="114" t="str">
        <f>VLOOKUP(A2752,'Data pick slip'!B:F,5,FALSE)</f>
        <v>KHJ-MC100-00</v>
      </c>
      <c r="F2752" s="157" t="s">
        <v>227</v>
      </c>
      <c r="H2752" s="138">
        <v>1139</v>
      </c>
      <c r="I2752" s="139" t="e">
        <f>VLOOKUP(H2752,Stock_list!A:R,18,FALSE)</f>
        <v>#N/A</v>
      </c>
      <c r="J2752" s="139" t="e">
        <f>VLOOKUP(H2752,Stock_list!A:S,17,FALSE)</f>
        <v>#N/A</v>
      </c>
      <c r="K2752" s="51" t="e">
        <f>VLOOKUP(H2752,Stock_list!A:T,16,FALSE)</f>
        <v>#N/A</v>
      </c>
      <c r="L2752" s="4">
        <v>44316</v>
      </c>
      <c r="M2752" s="140">
        <v>150</v>
      </c>
      <c r="P2752" s="4" t="e">
        <f>VLOOKUP(H2752,Stock_list!A:Y,25,FALSE)</f>
        <v>#N/A</v>
      </c>
      <c r="Q2752" s="143"/>
      <c r="T2752" s="144"/>
      <c r="U2752" s="145" t="e">
        <f>VLOOKUP(H2752,Stock_list!A:N,14,FALSE)</f>
        <v>#N/A</v>
      </c>
    </row>
    <row r="2753" spans="1:21" ht="16.5" customHeight="1">
      <c r="A2753" s="159" t="s">
        <v>264</v>
      </c>
      <c r="B2753" s="114" t="str">
        <f>VLOOKUP(A2753,'Data pick slip'!B:F,5,FALSE)</f>
        <v>KHJ-MC200-00</v>
      </c>
      <c r="F2753" s="157" t="s">
        <v>227</v>
      </c>
      <c r="H2753" s="138">
        <v>1139</v>
      </c>
      <c r="I2753" s="139" t="e">
        <f>VLOOKUP(H2753,Stock_list!A:R,18,FALSE)</f>
        <v>#N/A</v>
      </c>
      <c r="J2753" s="139" t="e">
        <f>VLOOKUP(H2753,Stock_list!A:S,17,FALSE)</f>
        <v>#N/A</v>
      </c>
      <c r="K2753" s="51" t="e">
        <f>VLOOKUP(H2753,Stock_list!A:T,16,FALSE)</f>
        <v>#N/A</v>
      </c>
      <c r="L2753" s="4">
        <v>44316</v>
      </c>
      <c r="M2753" s="140">
        <v>30</v>
      </c>
      <c r="P2753" s="4" t="e">
        <f>VLOOKUP(H2753,Stock_list!A:Y,25,FALSE)</f>
        <v>#N/A</v>
      </c>
      <c r="Q2753" s="143"/>
      <c r="T2753" s="144"/>
      <c r="U2753" s="145" t="e">
        <f>VLOOKUP(H2753,Stock_list!A:N,14,FALSE)</f>
        <v>#N/A</v>
      </c>
    </row>
    <row r="2754" spans="1:21" ht="16.5" customHeight="1">
      <c r="A2754" s="159" t="s">
        <v>265</v>
      </c>
      <c r="B2754" s="114" t="str">
        <f>VLOOKUP(A2754,'Data pick slip'!B:F,5,FALSE)</f>
        <v>KHJ-MC400-00</v>
      </c>
      <c r="F2754" s="157" t="s">
        <v>227</v>
      </c>
      <c r="H2754" s="138">
        <v>1139</v>
      </c>
      <c r="I2754" s="139" t="e">
        <f>VLOOKUP(H2754,Stock_list!A:R,18,FALSE)</f>
        <v>#N/A</v>
      </c>
      <c r="J2754" s="139" t="e">
        <f>VLOOKUP(H2754,Stock_list!A:S,17,FALSE)</f>
        <v>#N/A</v>
      </c>
      <c r="K2754" s="51" t="e">
        <f>VLOOKUP(H2754,Stock_list!A:T,16,FALSE)</f>
        <v>#N/A</v>
      </c>
      <c r="L2754" s="4">
        <v>44316</v>
      </c>
      <c r="M2754" s="140">
        <v>8</v>
      </c>
      <c r="P2754" s="4" t="e">
        <f>VLOOKUP(H2754,Stock_list!A:Y,25,FALSE)</f>
        <v>#N/A</v>
      </c>
      <c r="Q2754" s="143"/>
      <c r="T2754" s="144"/>
      <c r="U2754" s="145" t="e">
        <f>VLOOKUP(H2754,Stock_list!A:N,14,FALSE)</f>
        <v>#N/A</v>
      </c>
    </row>
    <row r="2755" spans="1:21" ht="16.5" customHeight="1">
      <c r="A2755" s="159" t="s">
        <v>266</v>
      </c>
      <c r="B2755" s="114" t="str">
        <f>VLOOKUP(A2755,'Data pick slip'!B:F,5,FALSE)</f>
        <v>KHJ-MC500-00</v>
      </c>
      <c r="F2755" s="157" t="s">
        <v>227</v>
      </c>
      <c r="H2755" s="138">
        <v>1139</v>
      </c>
      <c r="I2755" s="139" t="e">
        <f>VLOOKUP(H2755,Stock_list!A:R,18,FALSE)</f>
        <v>#N/A</v>
      </c>
      <c r="J2755" s="139" t="e">
        <f>VLOOKUP(H2755,Stock_list!A:S,17,FALSE)</f>
        <v>#N/A</v>
      </c>
      <c r="K2755" s="51" t="e">
        <f>VLOOKUP(H2755,Stock_list!A:T,16,FALSE)</f>
        <v>#N/A</v>
      </c>
      <c r="L2755" s="4">
        <v>44316</v>
      </c>
      <c r="M2755" s="140">
        <v>5</v>
      </c>
      <c r="P2755" s="4" t="e">
        <f>VLOOKUP(H2755,Stock_list!A:Y,25,FALSE)</f>
        <v>#N/A</v>
      </c>
      <c r="Q2755" s="143"/>
      <c r="T2755" s="144"/>
      <c r="U2755" s="145" t="e">
        <f>VLOOKUP(H2755,Stock_list!A:N,14,FALSE)</f>
        <v>#N/A</v>
      </c>
    </row>
    <row r="2756" spans="1:21" ht="16.5" customHeight="1">
      <c r="A2756" s="159" t="s">
        <v>267</v>
      </c>
      <c r="B2756" s="114" t="str">
        <f>VLOOKUP(A2756,'Data pick slip'!B:F,5,FALSE)</f>
        <v>KHJ-MC600-00</v>
      </c>
      <c r="F2756" s="157" t="s">
        <v>227</v>
      </c>
      <c r="H2756" s="138">
        <v>1139</v>
      </c>
      <c r="I2756" s="139" t="e">
        <f>VLOOKUP(H2756,Stock_list!A:R,18,FALSE)</f>
        <v>#N/A</v>
      </c>
      <c r="J2756" s="139" t="e">
        <f>VLOOKUP(H2756,Stock_list!A:S,17,FALSE)</f>
        <v>#N/A</v>
      </c>
      <c r="K2756" s="51" t="e">
        <f>VLOOKUP(H2756,Stock_list!A:T,16,FALSE)</f>
        <v>#N/A</v>
      </c>
      <c r="L2756" s="4">
        <v>44316</v>
      </c>
      <c r="M2756" s="140">
        <v>2</v>
      </c>
      <c r="P2756" s="4" t="e">
        <f>VLOOKUP(H2756,Stock_list!A:Y,25,FALSE)</f>
        <v>#N/A</v>
      </c>
      <c r="Q2756" s="143"/>
      <c r="T2756" s="144"/>
      <c r="U2756" s="145" t="e">
        <f>VLOOKUP(H2756,Stock_list!A:N,14,FALSE)</f>
        <v>#N/A</v>
      </c>
    </row>
    <row r="2757" spans="1:21" ht="16.5" customHeight="1">
      <c r="A2757" s="159" t="s">
        <v>261</v>
      </c>
      <c r="B2757" s="114" t="str">
        <f>VLOOKUP(A2757,'Data pick slip'!B:F,5,FALSE)</f>
        <v>KHJ-MC100-00</v>
      </c>
      <c r="F2757" s="157" t="s">
        <v>270</v>
      </c>
      <c r="H2757" s="138">
        <v>1143</v>
      </c>
      <c r="I2757" s="139" t="e">
        <f>VLOOKUP(H2757,Stock_list!A:R,18,FALSE)</f>
        <v>#N/A</v>
      </c>
      <c r="J2757" s="139" t="e">
        <f>VLOOKUP(H2757,Stock_list!A:S,17,FALSE)</f>
        <v>#N/A</v>
      </c>
      <c r="K2757" s="51" t="e">
        <f>VLOOKUP(H2757,Stock_list!A:T,16,FALSE)</f>
        <v>#N/A</v>
      </c>
      <c r="L2757" s="4">
        <v>44378</v>
      </c>
      <c r="M2757" s="140">
        <v>350</v>
      </c>
      <c r="P2757" s="4" t="e">
        <f>VLOOKUP(H2757,Stock_list!A:Y,25,FALSE)</f>
        <v>#N/A</v>
      </c>
      <c r="Q2757" s="143"/>
      <c r="T2757" s="144"/>
      <c r="U2757" s="145" t="e">
        <f>VLOOKUP(H2757,Stock_list!A:N,14,FALSE)</f>
        <v>#N/A</v>
      </c>
    </row>
    <row r="2758" spans="1:21" ht="16.5" customHeight="1">
      <c r="A2758" s="159" t="s">
        <v>261</v>
      </c>
      <c r="B2758" s="114" t="str">
        <f>VLOOKUP(A2758,'Data pick slip'!B:F,5,FALSE)</f>
        <v>KHJ-MC100-00</v>
      </c>
      <c r="F2758" s="157" t="s">
        <v>270</v>
      </c>
      <c r="H2758" s="138">
        <v>1149</v>
      </c>
      <c r="I2758" s="139" t="e">
        <f>VLOOKUP(H2758,Stock_list!A:R,18,FALSE)</f>
        <v>#N/A</v>
      </c>
      <c r="J2758" s="139" t="e">
        <f>VLOOKUP(H2758,Stock_list!A:S,17,FALSE)</f>
        <v>#N/A</v>
      </c>
      <c r="K2758" s="51" t="e">
        <f>VLOOKUP(H2758,Stock_list!A:T,16,FALSE)</f>
        <v>#N/A</v>
      </c>
      <c r="L2758" s="4">
        <v>44328</v>
      </c>
      <c r="M2758" s="140">
        <v>33</v>
      </c>
      <c r="P2758" s="4" t="e">
        <f>VLOOKUP(H2758,Stock_list!A:Y,25,FALSE)</f>
        <v>#N/A</v>
      </c>
      <c r="Q2758" s="143"/>
      <c r="T2758" s="144"/>
      <c r="U2758" s="145" t="e">
        <f>VLOOKUP(H2758,Stock_list!A:N,14,FALSE)</f>
        <v>#N/A</v>
      </c>
    </row>
    <row r="2759" spans="1:21" ht="16.5" customHeight="1">
      <c r="A2759" s="159" t="s">
        <v>261</v>
      </c>
      <c r="B2759" s="114" t="str">
        <f>VLOOKUP(A2759,'Data pick slip'!B:F,5,FALSE)</f>
        <v>KHJ-MC100-00</v>
      </c>
      <c r="F2759" s="157" t="s">
        <v>379</v>
      </c>
      <c r="H2759" s="138">
        <v>1152</v>
      </c>
      <c r="I2759" s="139" t="e">
        <f>VLOOKUP(H2759,Stock_list!A:R,18,FALSE)</f>
        <v>#N/A</v>
      </c>
      <c r="J2759" s="139" t="e">
        <f>VLOOKUP(H2759,Stock_list!A:S,17,FALSE)</f>
        <v>#N/A</v>
      </c>
      <c r="K2759" s="51" t="e">
        <f>VLOOKUP(H2759,Stock_list!A:T,16,FALSE)</f>
        <v>#N/A</v>
      </c>
      <c r="L2759" s="4">
        <v>44314</v>
      </c>
      <c r="M2759" s="143">
        <v>60</v>
      </c>
      <c r="P2759" s="4" t="e">
        <f>VLOOKUP(H2759,Stock_list!A:Y,25,FALSE)</f>
        <v>#N/A</v>
      </c>
      <c r="T2759" s="144"/>
      <c r="U2759" s="145" t="e">
        <f>VLOOKUP(H2759,Stock_list!A:N,14,FALSE)</f>
        <v>#N/A</v>
      </c>
    </row>
    <row r="2760" spans="1:21" ht="16.5" customHeight="1">
      <c r="A2760" s="159" t="s">
        <v>265</v>
      </c>
      <c r="B2760" s="114" t="str">
        <f>VLOOKUP(A2760,'Data pick slip'!B:F,5,FALSE)</f>
        <v>KHJ-MC400-00</v>
      </c>
      <c r="F2760" s="157" t="s">
        <v>379</v>
      </c>
      <c r="H2760" s="138">
        <v>1152</v>
      </c>
      <c r="I2760" s="139" t="e">
        <f>VLOOKUP(H2760,Stock_list!A:R,18,FALSE)</f>
        <v>#N/A</v>
      </c>
      <c r="J2760" s="139" t="e">
        <f>VLOOKUP(H2760,Stock_list!A:S,17,FALSE)</f>
        <v>#N/A</v>
      </c>
      <c r="K2760" s="51" t="e">
        <f>VLOOKUP(H2760,Stock_list!A:T,16,FALSE)</f>
        <v>#N/A</v>
      </c>
      <c r="L2760" s="4">
        <v>44314</v>
      </c>
      <c r="M2760" s="143">
        <v>6</v>
      </c>
      <c r="P2760" s="4" t="e">
        <f>VLOOKUP(H2760,Stock_list!A:Y,25,FALSE)</f>
        <v>#N/A</v>
      </c>
      <c r="T2760" s="144"/>
      <c r="U2760" s="145" t="e">
        <f>VLOOKUP(H2760,Stock_list!A:N,14,FALSE)</f>
        <v>#N/A</v>
      </c>
    </row>
    <row r="2761" spans="1:21" ht="16.5" customHeight="1">
      <c r="A2761" s="159" t="s">
        <v>266</v>
      </c>
      <c r="B2761" s="114" t="str">
        <f>VLOOKUP(A2761,'Data pick slip'!B:F,5,FALSE)</f>
        <v>KHJ-MC500-00</v>
      </c>
      <c r="F2761" s="157" t="s">
        <v>379</v>
      </c>
      <c r="H2761" s="138">
        <v>1152</v>
      </c>
      <c r="I2761" s="139" t="e">
        <f>VLOOKUP(H2761,Stock_list!A:R,18,FALSE)</f>
        <v>#N/A</v>
      </c>
      <c r="J2761" s="139" t="e">
        <f>VLOOKUP(H2761,Stock_list!A:S,17,FALSE)</f>
        <v>#N/A</v>
      </c>
      <c r="K2761" s="51" t="e">
        <f>VLOOKUP(H2761,Stock_list!A:T,16,FALSE)</f>
        <v>#N/A</v>
      </c>
      <c r="L2761" s="4">
        <v>44314</v>
      </c>
      <c r="M2761" s="143">
        <v>1</v>
      </c>
      <c r="P2761" s="4" t="e">
        <f>VLOOKUP(H2761,Stock_list!A:Y,25,FALSE)</f>
        <v>#N/A</v>
      </c>
      <c r="T2761" s="144"/>
      <c r="U2761" s="145" t="e">
        <f>VLOOKUP(H2761,Stock_list!A:N,14,FALSE)</f>
        <v>#N/A</v>
      </c>
    </row>
    <row r="2762" spans="1:21" ht="16.5" customHeight="1">
      <c r="A2762" s="159" t="s">
        <v>267</v>
      </c>
      <c r="B2762" s="114" t="str">
        <f>VLOOKUP(A2762,'Data pick slip'!B:F,5,FALSE)</f>
        <v>KHJ-MC600-00</v>
      </c>
      <c r="F2762" s="157" t="s">
        <v>379</v>
      </c>
      <c r="H2762" s="138">
        <v>1152</v>
      </c>
      <c r="I2762" s="139" t="e">
        <f>VLOOKUP(H2762,Stock_list!A:R,18,FALSE)</f>
        <v>#N/A</v>
      </c>
      <c r="J2762" s="139" t="e">
        <f>VLOOKUP(H2762,Stock_list!A:S,17,FALSE)</f>
        <v>#N/A</v>
      </c>
      <c r="K2762" s="51" t="e">
        <f>VLOOKUP(H2762,Stock_list!A:T,16,FALSE)</f>
        <v>#N/A</v>
      </c>
      <c r="L2762" s="4">
        <v>44314</v>
      </c>
      <c r="M2762" s="143">
        <v>1</v>
      </c>
      <c r="P2762" s="4" t="e">
        <f>VLOOKUP(H2762,Stock_list!A:Y,25,FALSE)</f>
        <v>#N/A</v>
      </c>
      <c r="T2762" s="144"/>
      <c r="U2762" s="145" t="e">
        <f>VLOOKUP(H2762,Stock_list!A:N,14,FALSE)</f>
        <v>#N/A</v>
      </c>
    </row>
    <row r="2763" spans="1:21" ht="16.5" customHeight="1">
      <c r="A2763" s="159" t="s">
        <v>261</v>
      </c>
      <c r="B2763" s="114" t="str">
        <f>VLOOKUP(A2763,'Data pick slip'!B:F,5,FALSE)</f>
        <v>KHJ-MC100-00</v>
      </c>
      <c r="F2763" s="157" t="s">
        <v>227</v>
      </c>
      <c r="H2763" s="138">
        <v>1163</v>
      </c>
      <c r="I2763" s="139" t="e">
        <f>VLOOKUP(H2763,Stock_list!A:R,18,FALSE)</f>
        <v>#N/A</v>
      </c>
      <c r="J2763" s="139" t="e">
        <f>VLOOKUP(H2763,Stock_list!A:S,17,FALSE)</f>
        <v>#N/A</v>
      </c>
      <c r="K2763" s="51" t="e">
        <f>VLOOKUP(H2763,Stock_list!A:T,16,FALSE)</f>
        <v>#N/A</v>
      </c>
      <c r="L2763" s="4">
        <v>44323</v>
      </c>
      <c r="M2763" s="143">
        <v>26</v>
      </c>
      <c r="P2763" s="4" t="e">
        <f>VLOOKUP(H2763,Stock_list!A:Y,25,FALSE)</f>
        <v>#N/A</v>
      </c>
      <c r="T2763" s="144"/>
      <c r="U2763" s="145" t="e">
        <f>VLOOKUP(H2763,Stock_list!A:N,14,FALSE)</f>
        <v>#N/A</v>
      </c>
    </row>
    <row r="2764" spans="1:21" ht="16.5" customHeight="1">
      <c r="A2764" s="159" t="s">
        <v>264</v>
      </c>
      <c r="B2764" s="114" t="str">
        <f>VLOOKUP(A2764,'Data pick slip'!B:F,5,FALSE)</f>
        <v>KHJ-MC200-00</v>
      </c>
      <c r="F2764" s="157" t="s">
        <v>227</v>
      </c>
      <c r="H2764" s="138">
        <v>1163</v>
      </c>
      <c r="I2764" s="139" t="e">
        <f>VLOOKUP(H2764,Stock_list!A:R,18,FALSE)</f>
        <v>#N/A</v>
      </c>
      <c r="J2764" s="139" t="e">
        <f>VLOOKUP(H2764,Stock_list!A:S,17,FALSE)</f>
        <v>#N/A</v>
      </c>
      <c r="K2764" s="51" t="e">
        <f>VLOOKUP(H2764,Stock_list!A:T,16,FALSE)</f>
        <v>#N/A</v>
      </c>
      <c r="L2764" s="4">
        <v>44323</v>
      </c>
      <c r="M2764" s="143">
        <v>5</v>
      </c>
      <c r="P2764" s="4" t="e">
        <f>VLOOKUP(H2764,Stock_list!A:Y,25,FALSE)</f>
        <v>#N/A</v>
      </c>
      <c r="T2764" s="144"/>
      <c r="U2764" s="145" t="e">
        <f>VLOOKUP(H2764,Stock_list!A:N,14,FALSE)</f>
        <v>#N/A</v>
      </c>
    </row>
    <row r="2765" spans="1:21" ht="16.5" customHeight="1">
      <c r="A2765" s="159" t="s">
        <v>261</v>
      </c>
      <c r="B2765" s="114" t="str">
        <f>VLOOKUP(A2765,'Data pick slip'!B:F,5,FALSE)</f>
        <v>KHJ-MC100-00</v>
      </c>
      <c r="F2765" s="157" t="s">
        <v>227</v>
      </c>
      <c r="H2765" s="138">
        <v>1163</v>
      </c>
      <c r="I2765" s="139" t="e">
        <f>VLOOKUP(H2765,Stock_list!A:R,18,FALSE)</f>
        <v>#N/A</v>
      </c>
      <c r="J2765" s="139" t="e">
        <f>VLOOKUP(H2765,Stock_list!A:S,17,FALSE)</f>
        <v>#N/A</v>
      </c>
      <c r="K2765" s="51" t="e">
        <f>VLOOKUP(H2765,Stock_list!A:T,16,FALSE)</f>
        <v>#N/A</v>
      </c>
      <c r="L2765" s="4">
        <v>44747</v>
      </c>
      <c r="M2765" s="143">
        <v>26</v>
      </c>
      <c r="P2765" s="4" t="e">
        <f>VLOOKUP(H2765,Stock_list!A:Y,25,FALSE)</f>
        <v>#N/A</v>
      </c>
      <c r="T2765" s="144"/>
      <c r="U2765" s="145" t="e">
        <f>VLOOKUP(H2765,Stock_list!A:N,14,FALSE)</f>
        <v>#N/A</v>
      </c>
    </row>
    <row r="2766" spans="1:21" ht="16.5" customHeight="1">
      <c r="A2766" s="159" t="s">
        <v>264</v>
      </c>
      <c r="B2766" s="114" t="str">
        <f>VLOOKUP(A2766,'Data pick slip'!B:F,5,FALSE)</f>
        <v>KHJ-MC200-00</v>
      </c>
      <c r="F2766" s="157" t="s">
        <v>227</v>
      </c>
      <c r="H2766" s="138">
        <v>1163</v>
      </c>
      <c r="I2766" s="139" t="e">
        <f>VLOOKUP(H2766,Stock_list!A:R,18,FALSE)</f>
        <v>#N/A</v>
      </c>
      <c r="J2766" s="139" t="e">
        <f>VLOOKUP(H2766,Stock_list!A:S,17,FALSE)</f>
        <v>#N/A</v>
      </c>
      <c r="K2766" s="51" t="e">
        <f>VLOOKUP(H2766,Stock_list!A:T,16,FALSE)</f>
        <v>#N/A</v>
      </c>
      <c r="L2766" s="4">
        <v>44747</v>
      </c>
      <c r="M2766" s="143">
        <v>5</v>
      </c>
      <c r="P2766" s="4" t="e">
        <f>VLOOKUP(H2766,Stock_list!A:Y,25,FALSE)</f>
        <v>#N/A</v>
      </c>
      <c r="T2766" s="144"/>
      <c r="U2766" s="145" t="e">
        <f>VLOOKUP(H2766,Stock_list!A:N,14,FALSE)</f>
        <v>#N/A</v>
      </c>
    </row>
    <row r="2767" spans="1:21" ht="16.5" customHeight="1">
      <c r="A2767" s="159" t="s">
        <v>261</v>
      </c>
      <c r="B2767" s="114" t="str">
        <f>VLOOKUP(A2767,'Data pick slip'!B:F,5,FALSE)</f>
        <v>KHJ-MC100-00</v>
      </c>
      <c r="F2767" s="157" t="s">
        <v>270</v>
      </c>
      <c r="H2767" s="138">
        <v>1163</v>
      </c>
      <c r="I2767" s="139" t="e">
        <f>VLOOKUP(H2767,Stock_list!A:R,18,FALSE)</f>
        <v>#N/A</v>
      </c>
      <c r="J2767" s="139" t="e">
        <f>VLOOKUP(H2767,Stock_list!A:S,17,FALSE)</f>
        <v>#N/A</v>
      </c>
      <c r="K2767" s="51" t="e">
        <f>VLOOKUP(H2767,Stock_list!A:T,16,FALSE)</f>
        <v>#N/A</v>
      </c>
      <c r="L2767" s="4">
        <v>44323</v>
      </c>
      <c r="M2767" s="143"/>
      <c r="O2767" s="132">
        <f>26-26</f>
        <v>0</v>
      </c>
      <c r="P2767" s="4" t="e">
        <f>VLOOKUP(H2767,Stock_list!A:Y,25,FALSE)</f>
        <v>#N/A</v>
      </c>
      <c r="T2767" s="144"/>
      <c r="U2767" s="145" t="e">
        <f>VLOOKUP(H2767,Stock_list!A:N,14,FALSE)</f>
        <v>#N/A</v>
      </c>
    </row>
    <row r="2768" spans="1:21" ht="16.5" customHeight="1">
      <c r="A2768" s="159" t="s">
        <v>264</v>
      </c>
      <c r="B2768" s="114" t="str">
        <f>VLOOKUP(A2768,'Data pick slip'!B:F,5,FALSE)</f>
        <v>KHJ-MC200-00</v>
      </c>
      <c r="F2768" s="157" t="s">
        <v>270</v>
      </c>
      <c r="H2768" s="138">
        <v>1163</v>
      </c>
      <c r="I2768" s="139" t="e">
        <f>VLOOKUP(H2768,Stock_list!A:R,18,FALSE)</f>
        <v>#N/A</v>
      </c>
      <c r="J2768" s="139" t="e">
        <f>VLOOKUP(H2768,Stock_list!A:S,17,FALSE)</f>
        <v>#N/A</v>
      </c>
      <c r="K2768" s="51" t="e">
        <f>VLOOKUP(H2768,Stock_list!A:T,16,FALSE)</f>
        <v>#N/A</v>
      </c>
      <c r="L2768" s="4">
        <v>44323</v>
      </c>
      <c r="M2768" s="143"/>
      <c r="O2768" s="132">
        <f>5-5</f>
        <v>0</v>
      </c>
      <c r="P2768" s="4" t="e">
        <f>VLOOKUP(H2768,Stock_list!A:Y,25,FALSE)</f>
        <v>#N/A</v>
      </c>
      <c r="T2768" s="144"/>
      <c r="U2768" s="145" t="e">
        <f>VLOOKUP(H2768,Stock_list!A:N,14,FALSE)</f>
        <v>#N/A</v>
      </c>
    </row>
    <row r="2769" spans="1:21" ht="16.5" customHeight="1">
      <c r="A2769" s="159" t="s">
        <v>261</v>
      </c>
      <c r="B2769" s="114" t="str">
        <f>VLOOKUP(A2769,'Data pick slip'!B:F,5,FALSE)</f>
        <v>KHJ-MC100-00</v>
      </c>
      <c r="F2769" s="157" t="s">
        <v>227</v>
      </c>
      <c r="H2769" s="138">
        <v>1166</v>
      </c>
      <c r="I2769" s="139" t="e">
        <f>VLOOKUP(H2769,Stock_list!A:R,18,FALSE)</f>
        <v>#N/A</v>
      </c>
      <c r="J2769" s="139" t="e">
        <f>VLOOKUP(H2769,Stock_list!A:S,17,FALSE)</f>
        <v>#N/A</v>
      </c>
      <c r="K2769" s="51" t="e">
        <f>VLOOKUP(H2769,Stock_list!A:T,16,FALSE)</f>
        <v>#N/A</v>
      </c>
      <c r="L2769" s="4">
        <v>44334</v>
      </c>
      <c r="M2769" s="143">
        <v>50</v>
      </c>
      <c r="P2769" s="4" t="e">
        <f>VLOOKUP(H2769,Stock_list!A:Y,25,FALSE)</f>
        <v>#N/A</v>
      </c>
      <c r="T2769" s="144"/>
      <c r="U2769" s="145" t="e">
        <f>VLOOKUP(H2769,Stock_list!A:N,14,FALSE)</f>
        <v>#N/A</v>
      </c>
    </row>
    <row r="2770" spans="1:21" ht="16.5" customHeight="1">
      <c r="A2770" s="159" t="s">
        <v>265</v>
      </c>
      <c r="B2770" s="114" t="str">
        <f>VLOOKUP(A2770,'Data pick slip'!B:F,5,FALSE)</f>
        <v>KHJ-MC400-00</v>
      </c>
      <c r="F2770" s="157" t="s">
        <v>227</v>
      </c>
      <c r="H2770" s="138">
        <v>1166</v>
      </c>
      <c r="I2770" s="139" t="e">
        <f>VLOOKUP(H2770,Stock_list!A:R,18,FALSE)</f>
        <v>#N/A</v>
      </c>
      <c r="J2770" s="139" t="e">
        <f>VLOOKUP(H2770,Stock_list!A:S,17,FALSE)</f>
        <v>#N/A</v>
      </c>
      <c r="K2770" s="51" t="e">
        <f>VLOOKUP(H2770,Stock_list!A:T,16,FALSE)</f>
        <v>#N/A</v>
      </c>
      <c r="L2770" s="4">
        <v>44334</v>
      </c>
      <c r="M2770" s="143">
        <v>2</v>
      </c>
      <c r="P2770" s="4" t="e">
        <f>VLOOKUP(H2770,Stock_list!A:Y,25,FALSE)</f>
        <v>#N/A</v>
      </c>
      <c r="T2770" s="144"/>
      <c r="U2770" s="145" t="e">
        <f>VLOOKUP(H2770,Stock_list!A:N,14,FALSE)</f>
        <v>#N/A</v>
      </c>
    </row>
    <row r="2771" spans="1:21" ht="16.5" customHeight="1">
      <c r="A2771" s="159" t="s">
        <v>266</v>
      </c>
      <c r="B2771" s="114" t="str">
        <f>VLOOKUP(A2771,'Data pick slip'!B:F,5,FALSE)</f>
        <v>KHJ-MC500-00</v>
      </c>
      <c r="F2771" s="157" t="s">
        <v>227</v>
      </c>
      <c r="H2771" s="138">
        <v>1166</v>
      </c>
      <c r="I2771" s="139" t="e">
        <f>VLOOKUP(H2771,Stock_list!A:R,18,FALSE)</f>
        <v>#N/A</v>
      </c>
      <c r="J2771" s="139" t="e">
        <f>VLOOKUP(H2771,Stock_list!A:S,17,FALSE)</f>
        <v>#N/A</v>
      </c>
      <c r="K2771" s="51" t="e">
        <f>VLOOKUP(H2771,Stock_list!A:T,16,FALSE)</f>
        <v>#N/A</v>
      </c>
      <c r="L2771" s="4">
        <v>44334</v>
      </c>
      <c r="M2771" s="143">
        <v>1</v>
      </c>
      <c r="P2771" s="4" t="e">
        <f>VLOOKUP(H2771,Stock_list!A:Y,25,FALSE)</f>
        <v>#N/A</v>
      </c>
      <c r="T2771" s="144"/>
      <c r="U2771" s="145" t="e">
        <f>VLOOKUP(H2771,Stock_list!A:N,14,FALSE)</f>
        <v>#N/A</v>
      </c>
    </row>
    <row r="2772" spans="1:21" ht="16.5" customHeight="1">
      <c r="A2772" s="159" t="s">
        <v>265</v>
      </c>
      <c r="B2772" s="114" t="str">
        <f>VLOOKUP(A2772,'Data pick slip'!B:F,5,FALSE)</f>
        <v>KHJ-MC400-00</v>
      </c>
      <c r="F2772" s="157" t="s">
        <v>270</v>
      </c>
      <c r="H2772" s="138">
        <v>1166</v>
      </c>
      <c r="I2772" s="139" t="e">
        <f>VLOOKUP(H2772,Stock_list!A:R,18,FALSE)</f>
        <v>#N/A</v>
      </c>
      <c r="J2772" s="139" t="e">
        <f>VLOOKUP(H2772,Stock_list!A:S,17,FALSE)</f>
        <v>#N/A</v>
      </c>
      <c r="K2772" s="51" t="e">
        <f>VLOOKUP(H2772,Stock_list!A:T,16,FALSE)</f>
        <v>#N/A</v>
      </c>
      <c r="L2772" s="4">
        <v>44334</v>
      </c>
      <c r="M2772" s="143"/>
      <c r="O2772" s="132">
        <f>2-2</f>
        <v>0</v>
      </c>
      <c r="P2772" s="4" t="e">
        <f>VLOOKUP(H2772,Stock_list!A:Y,25,FALSE)</f>
        <v>#N/A</v>
      </c>
      <c r="T2772" s="144"/>
      <c r="U2772" s="145" t="e">
        <f>VLOOKUP(H2772,Stock_list!A:N,14,FALSE)</f>
        <v>#N/A</v>
      </c>
    </row>
    <row r="2773" spans="1:21" ht="16.5" customHeight="1">
      <c r="A2773" s="159" t="s">
        <v>266</v>
      </c>
      <c r="B2773" s="114" t="str">
        <f>VLOOKUP(A2773,'Data pick slip'!B:F,5,FALSE)</f>
        <v>KHJ-MC500-00</v>
      </c>
      <c r="F2773" s="157" t="s">
        <v>270</v>
      </c>
      <c r="H2773" s="138">
        <v>1166</v>
      </c>
      <c r="I2773" s="139" t="e">
        <f>VLOOKUP(H2773,Stock_list!A:R,18,FALSE)</f>
        <v>#N/A</v>
      </c>
      <c r="J2773" s="139" t="e">
        <f>VLOOKUP(H2773,Stock_list!A:S,17,FALSE)</f>
        <v>#N/A</v>
      </c>
      <c r="K2773" s="51" t="e">
        <f>VLOOKUP(H2773,Stock_list!A:T,16,FALSE)</f>
        <v>#N/A</v>
      </c>
      <c r="L2773" s="4">
        <v>44334</v>
      </c>
      <c r="M2773" s="143"/>
      <c r="O2773" s="132">
        <f>1-1</f>
        <v>0</v>
      </c>
      <c r="P2773" s="4" t="e">
        <f>VLOOKUP(H2773,Stock_list!A:Y,25,FALSE)</f>
        <v>#N/A</v>
      </c>
      <c r="T2773" s="144"/>
      <c r="U2773" s="145" t="e">
        <f>VLOOKUP(H2773,Stock_list!A:N,14,FALSE)</f>
        <v>#N/A</v>
      </c>
    </row>
    <row r="2774" spans="1:21" ht="16.5" customHeight="1">
      <c r="A2774" s="159" t="s">
        <v>261</v>
      </c>
      <c r="B2774" s="114" t="str">
        <f>VLOOKUP(A2774,'Data pick slip'!B:F,5,FALSE)</f>
        <v>KHJ-MC100-00</v>
      </c>
      <c r="F2774" s="157" t="s">
        <v>270</v>
      </c>
      <c r="H2774" s="138">
        <v>1167</v>
      </c>
      <c r="I2774" s="139" t="e">
        <f>VLOOKUP(H2774,Stock_list!A:R,18,FALSE)</f>
        <v>#N/A</v>
      </c>
      <c r="J2774" s="139" t="e">
        <f>VLOOKUP(H2774,Stock_list!A:S,17,FALSE)</f>
        <v>#N/A</v>
      </c>
      <c r="K2774" s="51" t="e">
        <f>VLOOKUP(H2774,Stock_list!A:T,16,FALSE)</f>
        <v>#N/A</v>
      </c>
      <c r="L2774" s="4">
        <v>44390</v>
      </c>
      <c r="M2774" s="140">
        <v>6</v>
      </c>
      <c r="P2774" s="4" t="e">
        <f>VLOOKUP(H2774,Stock_list!A:Y,25,FALSE)</f>
        <v>#N/A</v>
      </c>
      <c r="Q2774" s="143"/>
      <c r="S2774" s="123" t="s">
        <v>521</v>
      </c>
      <c r="T2774" s="285" t="s">
        <v>929</v>
      </c>
      <c r="U2774" s="145" t="e">
        <f>VLOOKUP(H2774,Stock_list!A:N,14,FALSE)</f>
        <v>#N/A</v>
      </c>
    </row>
    <row r="2775" spans="1:21" ht="16.5" customHeight="1">
      <c r="A2775" s="159" t="s">
        <v>261</v>
      </c>
      <c r="B2775" s="114" t="str">
        <f>VLOOKUP(A2775,'Data pick slip'!B:F,5,FALSE)</f>
        <v>KHJ-MC100-00</v>
      </c>
      <c r="F2775" s="157" t="s">
        <v>227</v>
      </c>
      <c r="H2775" s="138">
        <v>1167</v>
      </c>
      <c r="I2775" s="139" t="e">
        <f>VLOOKUP(H2775,Stock_list!A:R,18,FALSE)</f>
        <v>#N/A</v>
      </c>
      <c r="J2775" s="139" t="e">
        <f>VLOOKUP(H2775,Stock_list!A:S,17,FALSE)</f>
        <v>#N/A</v>
      </c>
      <c r="K2775" s="51" t="e">
        <f>VLOOKUP(H2775,Stock_list!A:T,16,FALSE)</f>
        <v>#N/A</v>
      </c>
      <c r="L2775" s="4">
        <v>44797</v>
      </c>
      <c r="M2775" s="140">
        <v>1</v>
      </c>
      <c r="P2775" s="4" t="e">
        <f>VLOOKUP(H2775,Stock_list!A:Y,25,FALSE)</f>
        <v>#N/A</v>
      </c>
      <c r="Q2775" s="143"/>
      <c r="T2775" s="144"/>
      <c r="U2775" s="145" t="e">
        <f>VLOOKUP(H2775,Stock_list!A:N,14,FALSE)</f>
        <v>#N/A</v>
      </c>
    </row>
    <row r="2776" spans="1:21" ht="16.5" customHeight="1">
      <c r="A2776" s="159" t="s">
        <v>261</v>
      </c>
      <c r="B2776" s="114" t="str">
        <f>VLOOKUP(A2776,'Data pick slip'!B:F,5,FALSE)</f>
        <v>KHJ-MC100-00</v>
      </c>
      <c r="F2776" s="157" t="s">
        <v>227</v>
      </c>
      <c r="H2776" s="138">
        <v>1178</v>
      </c>
      <c r="I2776" s="139" t="e">
        <f>VLOOKUP(H2776,Stock_list!A:R,18,FALSE)</f>
        <v>#N/A</v>
      </c>
      <c r="J2776" s="139" t="e">
        <f>VLOOKUP(H2776,Stock_list!A:S,17,FALSE)</f>
        <v>#N/A</v>
      </c>
      <c r="K2776" s="51" t="e">
        <f>VLOOKUP(H2776,Stock_list!A:T,16,FALSE)</f>
        <v>#N/A</v>
      </c>
      <c r="L2776" s="4">
        <v>44455</v>
      </c>
      <c r="M2776" s="140">
        <v>67</v>
      </c>
      <c r="P2776" s="4" t="e">
        <f>VLOOKUP(H2776,Stock_list!A:Y,25,FALSE)</f>
        <v>#N/A</v>
      </c>
      <c r="Q2776" s="143"/>
      <c r="T2776" s="144"/>
      <c r="U2776" s="145" t="e">
        <f>VLOOKUP(H2776,Stock_list!A:N,14,FALSE)</f>
        <v>#N/A</v>
      </c>
    </row>
    <row r="2777" spans="1:21" ht="16.5" customHeight="1">
      <c r="A2777" s="159" t="s">
        <v>261</v>
      </c>
      <c r="B2777" s="114" t="str">
        <f>VLOOKUP(A2777,'Data pick slip'!B:F,5,FALSE)</f>
        <v>KHJ-MC100-00</v>
      </c>
      <c r="F2777" s="157" t="s">
        <v>227</v>
      </c>
      <c r="H2777" s="138">
        <v>1178</v>
      </c>
      <c r="I2777" s="139" t="e">
        <f>VLOOKUP(H2777,Stock_list!A:R,18,FALSE)</f>
        <v>#N/A</v>
      </c>
      <c r="J2777" s="139" t="e">
        <f>VLOOKUP(H2777,Stock_list!A:S,17,FALSE)</f>
        <v>#N/A</v>
      </c>
      <c r="K2777" s="51" t="e">
        <f>VLOOKUP(H2777,Stock_list!A:T,16,FALSE)</f>
        <v>#N/A</v>
      </c>
      <c r="L2777" s="4">
        <v>44406</v>
      </c>
      <c r="M2777" s="132">
        <v>40</v>
      </c>
      <c r="P2777" s="4" t="e">
        <f>VLOOKUP(H2777,Stock_list!A:Y,25,FALSE)</f>
        <v>#N/A</v>
      </c>
      <c r="Q2777" s="143"/>
      <c r="T2777" s="144"/>
      <c r="U2777" s="145" t="e">
        <f>VLOOKUP(H2777,Stock_list!A:N,14,FALSE)</f>
        <v>#N/A</v>
      </c>
    </row>
    <row r="2778" spans="1:21" ht="16.5" customHeight="1">
      <c r="A2778" s="159" t="s">
        <v>264</v>
      </c>
      <c r="B2778" s="114" t="str">
        <f>VLOOKUP(A2778,'Data pick slip'!B:F,5,FALSE)</f>
        <v>KHJ-MC200-00</v>
      </c>
      <c r="F2778" s="157" t="s">
        <v>227</v>
      </c>
      <c r="H2778" s="138">
        <v>1178</v>
      </c>
      <c r="I2778" s="139" t="e">
        <f>VLOOKUP(H2778,Stock_list!A:R,18,FALSE)</f>
        <v>#N/A</v>
      </c>
      <c r="J2778" s="139" t="e">
        <f>VLOOKUP(H2778,Stock_list!A:S,17,FALSE)</f>
        <v>#N/A</v>
      </c>
      <c r="K2778" s="51" t="e">
        <f>VLOOKUP(H2778,Stock_list!A:T,16,FALSE)</f>
        <v>#N/A</v>
      </c>
      <c r="L2778" s="4">
        <v>44406</v>
      </c>
      <c r="M2778" s="132">
        <v>2</v>
      </c>
      <c r="P2778" s="4" t="e">
        <f>VLOOKUP(H2778,Stock_list!A:Y,25,FALSE)</f>
        <v>#N/A</v>
      </c>
      <c r="Q2778" s="143"/>
      <c r="T2778" s="144"/>
      <c r="U2778" s="145" t="e">
        <f>VLOOKUP(H2778,Stock_list!A:N,14,FALSE)</f>
        <v>#N/A</v>
      </c>
    </row>
    <row r="2779" spans="1:21" ht="16.5" customHeight="1">
      <c r="A2779" s="159" t="s">
        <v>294</v>
      </c>
      <c r="B2779" s="114" t="str">
        <f>VLOOKUP(A2779,'Data pick slip'!B:F,5,FALSE)</f>
        <v>KHJ-MC400-00</v>
      </c>
      <c r="F2779" s="157" t="s">
        <v>227</v>
      </c>
      <c r="H2779" s="138">
        <v>1178</v>
      </c>
      <c r="I2779" s="139" t="e">
        <f>VLOOKUP(H2779,Stock_list!A:R,18,FALSE)</f>
        <v>#N/A</v>
      </c>
      <c r="J2779" s="139" t="e">
        <f>VLOOKUP(H2779,Stock_list!A:S,17,FALSE)</f>
        <v>#N/A</v>
      </c>
      <c r="K2779" s="51" t="e">
        <f>VLOOKUP(H2779,Stock_list!A:T,16,FALSE)</f>
        <v>#N/A</v>
      </c>
      <c r="L2779" s="4">
        <v>44406</v>
      </c>
      <c r="M2779" s="132">
        <v>5</v>
      </c>
      <c r="P2779" s="4" t="e">
        <f>VLOOKUP(H2779,Stock_list!A:Y,25,FALSE)</f>
        <v>#N/A</v>
      </c>
      <c r="Q2779" s="143"/>
      <c r="T2779" s="144"/>
      <c r="U2779" s="145" t="e">
        <f>VLOOKUP(H2779,Stock_list!A:N,14,FALSE)</f>
        <v>#N/A</v>
      </c>
    </row>
    <row r="2780" spans="1:21" ht="16.5" customHeight="1">
      <c r="A2780" s="159" t="s">
        <v>266</v>
      </c>
      <c r="B2780" s="114" t="str">
        <f>VLOOKUP(A2780,'Data pick slip'!B:F,5,FALSE)</f>
        <v>KHJ-MC500-00</v>
      </c>
      <c r="F2780" s="157" t="s">
        <v>227</v>
      </c>
      <c r="H2780" s="138">
        <v>1178</v>
      </c>
      <c r="I2780" s="139" t="e">
        <f>VLOOKUP(H2780,Stock_list!A:R,18,FALSE)</f>
        <v>#N/A</v>
      </c>
      <c r="J2780" s="139" t="e">
        <f>VLOOKUP(H2780,Stock_list!A:S,17,FALSE)</f>
        <v>#N/A</v>
      </c>
      <c r="K2780" s="51" t="e">
        <f>VLOOKUP(H2780,Stock_list!A:T,16,FALSE)</f>
        <v>#N/A</v>
      </c>
      <c r="L2780" s="4">
        <v>44406</v>
      </c>
      <c r="M2780" s="132">
        <v>1</v>
      </c>
      <c r="P2780" s="4" t="e">
        <f>VLOOKUP(H2780,Stock_list!A:Y,25,FALSE)</f>
        <v>#N/A</v>
      </c>
      <c r="Q2780" s="143"/>
      <c r="T2780" s="144"/>
      <c r="U2780" s="145" t="e">
        <f>VLOOKUP(H2780,Stock_list!A:N,14,FALSE)</f>
        <v>#N/A</v>
      </c>
    </row>
    <row r="2781" spans="1:21" ht="16.5" customHeight="1">
      <c r="A2781" s="159" t="s">
        <v>267</v>
      </c>
      <c r="B2781" s="114" t="str">
        <f>VLOOKUP(A2781,'Data pick slip'!B:F,5,FALSE)</f>
        <v>KHJ-MC600-00</v>
      </c>
      <c r="F2781" s="157" t="s">
        <v>227</v>
      </c>
      <c r="H2781" s="138">
        <v>1178</v>
      </c>
      <c r="I2781" s="139" t="e">
        <f>VLOOKUP(H2781,Stock_list!A:R,18,FALSE)</f>
        <v>#N/A</v>
      </c>
      <c r="J2781" s="139" t="e">
        <f>VLOOKUP(H2781,Stock_list!A:S,17,FALSE)</f>
        <v>#N/A</v>
      </c>
      <c r="K2781" s="51" t="e">
        <f>VLOOKUP(H2781,Stock_list!A:T,16,FALSE)</f>
        <v>#N/A</v>
      </c>
      <c r="L2781" s="4">
        <v>44406</v>
      </c>
      <c r="M2781" s="132">
        <v>1</v>
      </c>
      <c r="P2781" s="4" t="e">
        <f>VLOOKUP(H2781,Stock_list!A:Y,25,FALSE)</f>
        <v>#N/A</v>
      </c>
      <c r="Q2781" s="143"/>
      <c r="T2781" s="144"/>
      <c r="U2781" s="145" t="e">
        <f>VLOOKUP(H2781,Stock_list!A:N,14,FALSE)</f>
        <v>#N/A</v>
      </c>
    </row>
    <row r="2782" spans="1:21" ht="16.5" customHeight="1">
      <c r="A2782" s="159" t="s">
        <v>268</v>
      </c>
      <c r="B2782" s="114" t="str">
        <f>VLOOKUP(A2782,'Data pick slip'!B:F,5,FALSE)</f>
        <v>KHJ-MC700-00</v>
      </c>
      <c r="F2782" s="157" t="s">
        <v>227</v>
      </c>
      <c r="H2782" s="138">
        <v>1178</v>
      </c>
      <c r="I2782" s="139" t="e">
        <f>VLOOKUP(H2782,Stock_list!A:R,18,FALSE)</f>
        <v>#N/A</v>
      </c>
      <c r="J2782" s="139" t="e">
        <f>VLOOKUP(H2782,Stock_list!A:S,17,FALSE)</f>
        <v>#N/A</v>
      </c>
      <c r="K2782" s="51" t="e">
        <f>VLOOKUP(H2782,Stock_list!A:T,16,FALSE)</f>
        <v>#N/A</v>
      </c>
      <c r="L2782" s="4">
        <v>44406</v>
      </c>
      <c r="M2782" s="132">
        <v>1</v>
      </c>
      <c r="P2782" s="4" t="e">
        <f>VLOOKUP(H2782,Stock_list!A:Y,25,FALSE)</f>
        <v>#N/A</v>
      </c>
      <c r="Q2782" s="143"/>
      <c r="T2782" s="144"/>
      <c r="U2782" s="145" t="e">
        <f>VLOOKUP(H2782,Stock_list!A:N,14,FALSE)</f>
        <v>#N/A</v>
      </c>
    </row>
    <row r="2783" spans="1:21" ht="16.5" customHeight="1">
      <c r="A2783" s="159" t="s">
        <v>261</v>
      </c>
      <c r="B2783" s="114" t="str">
        <f>VLOOKUP(A2783,'Data pick slip'!B:F,5,FALSE)</f>
        <v>KHJ-MC100-00</v>
      </c>
      <c r="F2783" s="157" t="s">
        <v>379</v>
      </c>
      <c r="H2783" s="138">
        <v>1179</v>
      </c>
      <c r="I2783" s="139" t="e">
        <f>VLOOKUP(H2783,Stock_list!A:R,18,FALSE)</f>
        <v>#N/A</v>
      </c>
      <c r="J2783" s="139" t="e">
        <f>VLOOKUP(H2783,Stock_list!A:S,17,FALSE)</f>
        <v>#N/A</v>
      </c>
      <c r="K2783" s="51" t="e">
        <f>VLOOKUP(H2783,Stock_list!A:T,16,FALSE)</f>
        <v>#N/A</v>
      </c>
      <c r="L2783" s="4">
        <v>44376</v>
      </c>
      <c r="M2783" s="143">
        <v>30</v>
      </c>
      <c r="P2783" s="4" t="e">
        <f>VLOOKUP(H2783,Stock_list!A:Y,25,FALSE)</f>
        <v>#N/A</v>
      </c>
      <c r="T2783" s="144"/>
      <c r="U2783" s="145" t="e">
        <f>VLOOKUP(H2783,Stock_list!A:N,14,FALSE)</f>
        <v>#N/A</v>
      </c>
    </row>
    <row r="2784" spans="1:21" ht="16.5" customHeight="1">
      <c r="A2784" s="159" t="s">
        <v>264</v>
      </c>
      <c r="B2784" s="114" t="str">
        <f>VLOOKUP(A2784,'Data pick slip'!B:F,5,FALSE)</f>
        <v>KHJ-MC200-00</v>
      </c>
      <c r="F2784" s="157" t="s">
        <v>379</v>
      </c>
      <c r="H2784" s="138">
        <v>1179</v>
      </c>
      <c r="I2784" s="139" t="e">
        <f>VLOOKUP(H2784,Stock_list!A:R,18,FALSE)</f>
        <v>#N/A</v>
      </c>
      <c r="J2784" s="139" t="e">
        <f>VLOOKUP(H2784,Stock_list!A:S,17,FALSE)</f>
        <v>#N/A</v>
      </c>
      <c r="K2784" s="51" t="e">
        <f>VLOOKUP(H2784,Stock_list!A:T,16,FALSE)</f>
        <v>#N/A</v>
      </c>
      <c r="L2784" s="4">
        <v>44376</v>
      </c>
      <c r="M2784" s="143">
        <v>3</v>
      </c>
      <c r="P2784" s="4" t="e">
        <f>VLOOKUP(H2784,Stock_list!A:Y,25,FALSE)</f>
        <v>#N/A</v>
      </c>
      <c r="T2784" s="144"/>
      <c r="U2784" s="145" t="e">
        <f>VLOOKUP(H2784,Stock_list!A:N,14,FALSE)</f>
        <v>#N/A</v>
      </c>
    </row>
    <row r="2785" spans="1:21" ht="16.5" customHeight="1">
      <c r="A2785" s="159" t="s">
        <v>265</v>
      </c>
      <c r="B2785" s="114" t="str">
        <f>VLOOKUP(A2785,'Data pick slip'!B:F,5,FALSE)</f>
        <v>KHJ-MC400-00</v>
      </c>
      <c r="F2785" s="157" t="s">
        <v>379</v>
      </c>
      <c r="H2785" s="138">
        <v>1179</v>
      </c>
      <c r="I2785" s="139" t="e">
        <f>VLOOKUP(H2785,Stock_list!A:R,18,FALSE)</f>
        <v>#N/A</v>
      </c>
      <c r="J2785" s="139" t="e">
        <f>VLOOKUP(H2785,Stock_list!A:S,17,FALSE)</f>
        <v>#N/A</v>
      </c>
      <c r="K2785" s="51" t="e">
        <f>VLOOKUP(H2785,Stock_list!A:T,16,FALSE)</f>
        <v>#N/A</v>
      </c>
      <c r="L2785" s="4">
        <v>44376</v>
      </c>
      <c r="M2785" s="143">
        <v>2</v>
      </c>
      <c r="P2785" s="4" t="e">
        <f>VLOOKUP(H2785,Stock_list!A:Y,25,FALSE)</f>
        <v>#N/A</v>
      </c>
      <c r="T2785" s="144"/>
      <c r="U2785" s="145" t="e">
        <f>VLOOKUP(H2785,Stock_list!A:N,14,FALSE)</f>
        <v>#N/A</v>
      </c>
    </row>
    <row r="2786" spans="1:21" ht="16.5" customHeight="1">
      <c r="A2786" s="159" t="s">
        <v>267</v>
      </c>
      <c r="B2786" s="114" t="str">
        <f>VLOOKUP(A2786,'Data pick slip'!B:F,5,FALSE)</f>
        <v>KHJ-MC600-00</v>
      </c>
      <c r="F2786" s="157" t="s">
        <v>270</v>
      </c>
      <c r="I2786" s="139" t="s">
        <v>611</v>
      </c>
      <c r="J2786" s="139" t="s">
        <v>938</v>
      </c>
      <c r="K2786" s="51" t="s">
        <v>225</v>
      </c>
      <c r="L2786" s="4">
        <v>44257</v>
      </c>
      <c r="M2786" s="140">
        <v>1</v>
      </c>
      <c r="P2786" s="4" t="s">
        <v>214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261</v>
      </c>
      <c r="B2787" s="114" t="str">
        <f>VLOOKUP(A2787,'Data pick slip'!B:F,5,FALSE)</f>
        <v>KHJ-MC100-00</v>
      </c>
      <c r="F2787" s="157" t="s">
        <v>227</v>
      </c>
      <c r="H2787" s="138">
        <v>1180</v>
      </c>
      <c r="I2787" s="139" t="e">
        <f>VLOOKUP(H2787,Stock_list!A:R,18,FALSE)</f>
        <v>#N/A</v>
      </c>
      <c r="J2787" s="139" t="e">
        <f>VLOOKUP(H2787,Stock_list!A:S,17,FALSE)</f>
        <v>#N/A</v>
      </c>
      <c r="K2787" s="51" t="e">
        <f>VLOOKUP(H2787,Stock_list!A:T,16,FALSE)</f>
        <v>#N/A</v>
      </c>
      <c r="L2787" s="4">
        <v>44350</v>
      </c>
      <c r="M2787" s="132">
        <v>40</v>
      </c>
      <c r="P2787" s="4" t="s">
        <v>214</v>
      </c>
      <c r="Q2787" s="143"/>
      <c r="T2787" s="144"/>
      <c r="U2787" s="145" t="e">
        <f>VLOOKUP(H2787,Stock_list!A:N,14,FALSE)</f>
        <v>#N/A</v>
      </c>
    </row>
    <row r="2788" spans="1:21" ht="16.5" customHeight="1">
      <c r="A2788" s="159" t="s">
        <v>264</v>
      </c>
      <c r="B2788" s="114" t="str">
        <f>VLOOKUP(A2788,'Data pick slip'!B:F,5,FALSE)</f>
        <v>KHJ-MC200-00</v>
      </c>
      <c r="F2788" s="157" t="s">
        <v>227</v>
      </c>
      <c r="H2788" s="138">
        <v>1180</v>
      </c>
      <c r="I2788" s="139" t="e">
        <f>VLOOKUP(H2788,Stock_list!A:R,18,FALSE)</f>
        <v>#N/A</v>
      </c>
      <c r="J2788" s="139" t="e">
        <f>VLOOKUP(H2788,Stock_list!A:S,17,FALSE)</f>
        <v>#N/A</v>
      </c>
      <c r="K2788" s="51" t="e">
        <f>VLOOKUP(H2788,Stock_list!A:T,16,FALSE)</f>
        <v>#N/A</v>
      </c>
      <c r="L2788" s="4">
        <v>44350</v>
      </c>
      <c r="M2788" s="132">
        <v>5</v>
      </c>
      <c r="P2788" s="4" t="s">
        <v>214</v>
      </c>
      <c r="Q2788" s="143"/>
      <c r="T2788" s="144"/>
      <c r="U2788" s="145" t="e">
        <f>VLOOKUP(H2788,Stock_list!A:N,14,FALSE)</f>
        <v>#N/A</v>
      </c>
    </row>
    <row r="2789" spans="1:21" ht="16.5" customHeight="1">
      <c r="A2789" s="159" t="s">
        <v>265</v>
      </c>
      <c r="B2789" s="114" t="str">
        <f>VLOOKUP(A2789,'Data pick slip'!B:F,5,FALSE)</f>
        <v>KHJ-MC400-00</v>
      </c>
      <c r="F2789" s="157" t="s">
        <v>227</v>
      </c>
      <c r="H2789" s="138">
        <v>1180</v>
      </c>
      <c r="I2789" s="139" t="e">
        <f>VLOOKUP(H2789,Stock_list!A:R,18,FALSE)</f>
        <v>#N/A</v>
      </c>
      <c r="J2789" s="139" t="e">
        <f>VLOOKUP(H2789,Stock_list!A:S,17,FALSE)</f>
        <v>#N/A</v>
      </c>
      <c r="K2789" s="51" t="e">
        <f>VLOOKUP(H2789,Stock_list!A:T,16,FALSE)</f>
        <v>#N/A</v>
      </c>
      <c r="L2789" s="4">
        <v>44350</v>
      </c>
      <c r="M2789" s="132">
        <v>3</v>
      </c>
      <c r="P2789" s="4" t="s">
        <v>214</v>
      </c>
      <c r="Q2789" s="143"/>
      <c r="T2789" s="144"/>
      <c r="U2789" s="145" t="e">
        <f>VLOOKUP(H2789,Stock_list!A:N,14,FALSE)</f>
        <v>#N/A</v>
      </c>
    </row>
    <row r="2790" spans="1:21" ht="16.5" customHeight="1">
      <c r="A2790" s="159" t="s">
        <v>266</v>
      </c>
      <c r="B2790" s="114" t="str">
        <f>VLOOKUP(A2790,'Data pick slip'!B:F,5,FALSE)</f>
        <v>KHJ-MC500-00</v>
      </c>
      <c r="F2790" s="157" t="s">
        <v>227</v>
      </c>
      <c r="H2790" s="138">
        <v>1180</v>
      </c>
      <c r="I2790" s="139" t="e">
        <f>VLOOKUP(H2790,Stock_list!A:R,18,FALSE)</f>
        <v>#N/A</v>
      </c>
      <c r="J2790" s="139" t="e">
        <f>VLOOKUP(H2790,Stock_list!A:S,17,FALSE)</f>
        <v>#N/A</v>
      </c>
      <c r="K2790" s="51" t="e">
        <f>VLOOKUP(H2790,Stock_list!A:T,16,FALSE)</f>
        <v>#N/A</v>
      </c>
      <c r="L2790" s="4">
        <v>44350</v>
      </c>
      <c r="M2790" s="132">
        <v>2</v>
      </c>
      <c r="P2790" s="4" t="s">
        <v>214</v>
      </c>
      <c r="Q2790" s="143"/>
      <c r="T2790" s="144"/>
      <c r="U2790" s="145" t="e">
        <f>VLOOKUP(H2790,Stock_list!A:N,14,FALSE)</f>
        <v>#N/A</v>
      </c>
    </row>
    <row r="2791" spans="1:21" ht="16.5" customHeight="1">
      <c r="A2791" s="159" t="s">
        <v>261</v>
      </c>
      <c r="B2791" s="114" t="str">
        <f>VLOOKUP(A2791,'Data pick slip'!B:F,5,FALSE)</f>
        <v>KHJ-MC100-00</v>
      </c>
      <c r="F2791" s="157" t="s">
        <v>279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264</v>
      </c>
      <c r="B2792" s="114" t="str">
        <f>VLOOKUP(A2792,'Data pick slip'!B:F,5,FALSE)</f>
        <v>KHJ-MC200-00</v>
      </c>
      <c r="F2792" s="157" t="s">
        <v>279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294</v>
      </c>
      <c r="B2793" s="114" t="str">
        <f>VLOOKUP(A2793,'Data pick slip'!B:F,5,FALSE)</f>
        <v>KHJ-MC400-00</v>
      </c>
      <c r="F2793" s="157" t="s">
        <v>279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266</v>
      </c>
      <c r="B2794" s="114" t="str">
        <f>VLOOKUP(A2794,'Data pick slip'!B:F,5,FALSE)</f>
        <v>KHJ-MC500-00</v>
      </c>
      <c r="F2794" s="157" t="s">
        <v>279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261</v>
      </c>
      <c r="B2795" s="114" t="str">
        <f>VLOOKUP(A2795,'Data pick slip'!B:F,5,FALSE)</f>
        <v>KHJ-MC100-00</v>
      </c>
      <c r="F2795" s="157" t="s">
        <v>270</v>
      </c>
      <c r="I2795" s="139" t="s">
        <v>611</v>
      </c>
      <c r="J2795" s="270" t="s">
        <v>939</v>
      </c>
      <c r="K2795" s="51" t="s">
        <v>225</v>
      </c>
      <c r="L2795" s="4">
        <v>44259</v>
      </c>
      <c r="M2795" s="132">
        <v>3</v>
      </c>
      <c r="P2795" s="4" t="s">
        <v>214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264</v>
      </c>
      <c r="B2796" s="114" t="str">
        <f>VLOOKUP(A2796,'Data pick slip'!B:F,5,FALSE)</f>
        <v>KHJ-MC200-00</v>
      </c>
      <c r="F2796" s="157" t="s">
        <v>270</v>
      </c>
      <c r="I2796" s="139" t="s">
        <v>611</v>
      </c>
      <c r="J2796" s="270" t="s">
        <v>939</v>
      </c>
      <c r="K2796" s="51" t="s">
        <v>225</v>
      </c>
      <c r="L2796" s="4">
        <v>44259</v>
      </c>
      <c r="M2796" s="132">
        <v>2</v>
      </c>
      <c r="P2796" s="4" t="s">
        <v>214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261</v>
      </c>
      <c r="B2797" s="114" t="str">
        <f>VLOOKUP(A2797,'Data pick slip'!B:F,5,FALSE)</f>
        <v>KHJ-MC100-00</v>
      </c>
      <c r="F2797" s="157" t="s">
        <v>227</v>
      </c>
      <c r="H2797" s="138">
        <v>1185</v>
      </c>
      <c r="I2797" s="139" t="e">
        <f>VLOOKUP(H2797,Stock_list!A:R,18,FALSE)</f>
        <v>#N/A</v>
      </c>
      <c r="J2797" s="139" t="e">
        <f>VLOOKUP(H2797,Stock_list!A:S,17,FALSE)</f>
        <v>#N/A</v>
      </c>
      <c r="K2797" s="51" t="e">
        <f>VLOOKUP(H2797,Stock_list!A:T,16,FALSE)</f>
        <v>#N/A</v>
      </c>
      <c r="L2797" s="4">
        <v>44334</v>
      </c>
      <c r="M2797" s="132">
        <v>28</v>
      </c>
      <c r="P2797" s="4" t="e">
        <f>VLOOKUP(H2797,Stock_list!A:Y,25,FALSE)</f>
        <v>#N/A</v>
      </c>
      <c r="Q2797" s="143"/>
      <c r="T2797" s="144"/>
      <c r="U2797" s="145" t="e">
        <f>VLOOKUP(H2797,Stock_list!A:N,14,FALSE)</f>
        <v>#N/A</v>
      </c>
    </row>
    <row r="2798" spans="1:21" ht="16.5" customHeight="1">
      <c r="A2798" s="159" t="s">
        <v>264</v>
      </c>
      <c r="B2798" s="114" t="str">
        <f>VLOOKUP(A2798,'Data pick slip'!B:F,5,FALSE)</f>
        <v>KHJ-MC200-00</v>
      </c>
      <c r="F2798" s="157" t="s">
        <v>227</v>
      </c>
      <c r="H2798" s="138">
        <v>1185</v>
      </c>
      <c r="I2798" s="139" t="e">
        <f>VLOOKUP(H2798,Stock_list!A:R,18,FALSE)</f>
        <v>#N/A</v>
      </c>
      <c r="J2798" s="139" t="e">
        <f>VLOOKUP(H2798,Stock_list!A:S,17,FALSE)</f>
        <v>#N/A</v>
      </c>
      <c r="K2798" s="51" t="e">
        <f>VLOOKUP(H2798,Stock_list!A:T,16,FALSE)</f>
        <v>#N/A</v>
      </c>
      <c r="L2798" s="4">
        <v>44334</v>
      </c>
      <c r="M2798" s="132">
        <v>9</v>
      </c>
      <c r="P2798" s="4" t="e">
        <f>VLOOKUP(H2798,Stock_list!A:Y,25,FALSE)</f>
        <v>#N/A</v>
      </c>
      <c r="Q2798" s="143"/>
      <c r="T2798" s="144"/>
      <c r="U2798" s="145" t="e">
        <f>VLOOKUP(H2798,Stock_list!A:N,14,FALSE)</f>
        <v>#N/A</v>
      </c>
    </row>
    <row r="2799" spans="1:21" ht="16.5" customHeight="1">
      <c r="A2799" s="159" t="s">
        <v>294</v>
      </c>
      <c r="B2799" s="114" t="str">
        <f>VLOOKUP(A2799,'Data pick slip'!B:F,5,FALSE)</f>
        <v>KHJ-MC400-00</v>
      </c>
      <c r="F2799" s="157" t="s">
        <v>227</v>
      </c>
      <c r="H2799" s="138">
        <v>1185</v>
      </c>
      <c r="I2799" s="139" t="e">
        <f>VLOOKUP(H2799,Stock_list!A:R,18,FALSE)</f>
        <v>#N/A</v>
      </c>
      <c r="J2799" s="139" t="e">
        <f>VLOOKUP(H2799,Stock_list!A:S,17,FALSE)</f>
        <v>#N/A</v>
      </c>
      <c r="K2799" s="51" t="e">
        <f>VLOOKUP(H2799,Stock_list!A:T,16,FALSE)</f>
        <v>#N/A</v>
      </c>
      <c r="L2799" s="4">
        <v>44334</v>
      </c>
      <c r="M2799" s="132">
        <v>1</v>
      </c>
      <c r="P2799" s="4" t="e">
        <f>VLOOKUP(H2799,Stock_list!A:Y,25,FALSE)</f>
        <v>#N/A</v>
      </c>
      <c r="Q2799" s="143"/>
      <c r="T2799" s="144"/>
      <c r="U2799" s="145" t="e">
        <f>VLOOKUP(H2799,Stock_list!A:N,14,FALSE)</f>
        <v>#N/A</v>
      </c>
    </row>
    <row r="2800" spans="1:21" ht="16.5" customHeight="1">
      <c r="A2800" s="159" t="s">
        <v>261</v>
      </c>
      <c r="B2800" s="114" t="str">
        <f>VLOOKUP(A2800,'Data pick slip'!B:F,5,FALSE)</f>
        <v>KHJ-MC100-00</v>
      </c>
      <c r="F2800" s="157" t="s">
        <v>379</v>
      </c>
      <c r="H2800" s="138">
        <v>1153</v>
      </c>
      <c r="I2800" s="139" t="e">
        <f>VLOOKUP(H2800,Stock_list!A:R,18,FALSE)</f>
        <v>#N/A</v>
      </c>
      <c r="J2800" s="139" t="e">
        <f>VLOOKUP(H2800,Stock_list!A:S,17,FALSE)</f>
        <v>#N/A</v>
      </c>
      <c r="K2800" s="51" t="e">
        <f>VLOOKUP(H2800,Stock_list!A:T,16,FALSE)</f>
        <v>#N/A</v>
      </c>
      <c r="L2800" s="4">
        <v>44536</v>
      </c>
      <c r="M2800" s="143">
        <v>210</v>
      </c>
      <c r="N2800" s="143"/>
      <c r="P2800" s="4" t="e">
        <f>VLOOKUP(H2800,Stock_list!A:Y,25,FALSE)</f>
        <v>#N/A</v>
      </c>
      <c r="T2800" s="144"/>
      <c r="U2800" s="145" t="e">
        <f>VLOOKUP(H2800,Stock_list!A:N,14,FALSE)</f>
        <v>#N/A</v>
      </c>
    </row>
    <row r="2801" spans="1:21" ht="16.5" customHeight="1">
      <c r="A2801" s="159" t="s">
        <v>264</v>
      </c>
      <c r="B2801" s="114" t="str">
        <f>VLOOKUP(A2801,'Data pick slip'!B:F,5,FALSE)</f>
        <v>KHJ-MC200-00</v>
      </c>
      <c r="F2801" s="157" t="s">
        <v>379</v>
      </c>
      <c r="H2801" s="138">
        <v>1153</v>
      </c>
      <c r="I2801" s="139" t="e">
        <f>VLOOKUP(H2801,Stock_list!A:R,18,FALSE)</f>
        <v>#N/A</v>
      </c>
      <c r="J2801" s="139" t="e">
        <f>VLOOKUP(H2801,Stock_list!A:S,17,FALSE)</f>
        <v>#N/A</v>
      </c>
      <c r="K2801" s="51" t="e">
        <f>VLOOKUP(H2801,Stock_list!A:T,16,FALSE)</f>
        <v>#N/A</v>
      </c>
      <c r="L2801" s="4">
        <v>44536</v>
      </c>
      <c r="M2801" s="143">
        <v>30</v>
      </c>
      <c r="N2801" s="143"/>
      <c r="P2801" s="4" t="e">
        <f>VLOOKUP(H2801,Stock_list!A:Y,25,FALSE)</f>
        <v>#N/A</v>
      </c>
      <c r="T2801" s="144"/>
      <c r="U2801" s="145" t="e">
        <f>VLOOKUP(H2801,Stock_list!A:N,14,FALSE)</f>
        <v>#N/A</v>
      </c>
    </row>
    <row r="2802" spans="1:21" ht="16.5" customHeight="1">
      <c r="A2802" s="159" t="s">
        <v>267</v>
      </c>
      <c r="B2802" s="114" t="str">
        <f>VLOOKUP(A2802,'Data pick slip'!B:F,5,FALSE)</f>
        <v>KHJ-MC600-00</v>
      </c>
      <c r="F2802" s="157" t="s">
        <v>270</v>
      </c>
      <c r="H2802" s="138">
        <v>1153</v>
      </c>
      <c r="I2802" s="139" t="e">
        <f>VLOOKUP(H2802,Stock_list!A:R,18,FALSE)</f>
        <v>#N/A</v>
      </c>
      <c r="J2802" s="139" t="e">
        <f>VLOOKUP(H2802,Stock_list!A:S,17,FALSE)</f>
        <v>#N/A</v>
      </c>
      <c r="K2802" s="51" t="e">
        <f>VLOOKUP(H2802,Stock_list!A:T,16,FALSE)</f>
        <v>#N/A</v>
      </c>
      <c r="L2802" s="4">
        <v>44375</v>
      </c>
      <c r="M2802" s="143"/>
      <c r="O2802" s="132">
        <f>2-2</f>
        <v>0</v>
      </c>
      <c r="P2802" s="4" t="e">
        <f>VLOOKUP(H2802,Stock_list!A:Y,25,FALSE)</f>
        <v>#N/A</v>
      </c>
      <c r="T2802" s="144"/>
      <c r="U2802" s="145" t="e">
        <f>VLOOKUP(H2802,Stock_list!A:N,14,FALSE)</f>
        <v>#N/A</v>
      </c>
    </row>
    <row r="2803" spans="1:21" ht="16.5" customHeight="1">
      <c r="A2803" s="159" t="s">
        <v>261</v>
      </c>
      <c r="B2803" s="114" t="str">
        <f>VLOOKUP(A2803,'Data pick slip'!B:F,5,FALSE)</f>
        <v>KHJ-MC100-00</v>
      </c>
      <c r="F2803" s="157" t="s">
        <v>379</v>
      </c>
      <c r="H2803" s="138">
        <v>1153</v>
      </c>
      <c r="I2803" s="139" t="e">
        <f>VLOOKUP(H2803,Stock_list!A:R,18,FALSE)</f>
        <v>#N/A</v>
      </c>
      <c r="J2803" s="139" t="e">
        <f>VLOOKUP(H2803,Stock_list!A:S,17,FALSE)</f>
        <v>#N/A</v>
      </c>
      <c r="K2803" s="51" t="e">
        <f>VLOOKUP(H2803,Stock_list!A:T,16,FALSE)</f>
        <v>#N/A</v>
      </c>
      <c r="L2803" s="4">
        <v>44536</v>
      </c>
      <c r="M2803" s="132">
        <v>210</v>
      </c>
      <c r="P2803" s="4" t="e">
        <f>VLOOKUP(H2803,Stock_list!A:Y,25,FALSE)</f>
        <v>#N/A</v>
      </c>
      <c r="T2803" s="144"/>
      <c r="U2803" s="145" t="e">
        <f>VLOOKUP(H2803,Stock_list!A:N,14,FALSE)</f>
        <v>#N/A</v>
      </c>
    </row>
    <row r="2804" spans="1:21" ht="16.5" customHeight="1">
      <c r="A2804" s="159" t="s">
        <v>264</v>
      </c>
      <c r="B2804" s="114" t="str">
        <f>VLOOKUP(A2804,'Data pick slip'!B:F,5,FALSE)</f>
        <v>KHJ-MC200-00</v>
      </c>
      <c r="F2804" s="157" t="s">
        <v>379</v>
      </c>
      <c r="H2804" s="138">
        <v>1153</v>
      </c>
      <c r="I2804" s="139" t="e">
        <f>VLOOKUP(H2804,Stock_list!A:R,18,FALSE)</f>
        <v>#N/A</v>
      </c>
      <c r="J2804" s="139" t="e">
        <f>VLOOKUP(H2804,Stock_list!A:S,17,FALSE)</f>
        <v>#N/A</v>
      </c>
      <c r="K2804" s="51" t="e">
        <f>VLOOKUP(H2804,Stock_list!A:T,16,FALSE)</f>
        <v>#N/A</v>
      </c>
      <c r="L2804" s="4">
        <v>44536</v>
      </c>
      <c r="M2804" s="132">
        <v>20</v>
      </c>
      <c r="P2804" s="4" t="e">
        <f>VLOOKUP(H2804,Stock_list!A:Y,25,FALSE)</f>
        <v>#N/A</v>
      </c>
      <c r="T2804" s="144"/>
      <c r="U2804" s="145" t="e">
        <f>VLOOKUP(H2804,Stock_list!A:N,14,FALSE)</f>
        <v>#N/A</v>
      </c>
    </row>
    <row r="2805" spans="1:21" ht="16.5" customHeight="1">
      <c r="A2805" s="159" t="s">
        <v>265</v>
      </c>
      <c r="B2805" s="114" t="str">
        <f>VLOOKUP(A2805,'Data pick slip'!B:F,5,FALSE)</f>
        <v>KHJ-MC400-00</v>
      </c>
      <c r="F2805" s="157" t="s">
        <v>379</v>
      </c>
      <c r="H2805" s="138">
        <v>1153</v>
      </c>
      <c r="I2805" s="139" t="e">
        <f>VLOOKUP(H2805,Stock_list!A:R,18,FALSE)</f>
        <v>#N/A</v>
      </c>
      <c r="J2805" s="139" t="e">
        <f>VLOOKUP(H2805,Stock_list!A:S,17,FALSE)</f>
        <v>#N/A</v>
      </c>
      <c r="K2805" s="51" t="e">
        <f>VLOOKUP(H2805,Stock_list!A:T,16,FALSE)</f>
        <v>#N/A</v>
      </c>
      <c r="L2805" s="4">
        <v>44536</v>
      </c>
      <c r="M2805" s="132">
        <v>11</v>
      </c>
      <c r="P2805" s="4" t="e">
        <f>VLOOKUP(H2805,Stock_list!A:Y,25,FALSE)</f>
        <v>#N/A</v>
      </c>
      <c r="T2805" s="144"/>
      <c r="U2805" s="145" t="e">
        <f>VLOOKUP(H2805,Stock_list!A:N,14,FALSE)</f>
        <v>#N/A</v>
      </c>
    </row>
    <row r="2806" spans="1:21" ht="16.5" customHeight="1">
      <c r="A2806" s="159" t="s">
        <v>266</v>
      </c>
      <c r="B2806" s="114" t="str">
        <f>VLOOKUP(A2806,'Data pick slip'!B:F,5,FALSE)</f>
        <v>KHJ-MC500-00</v>
      </c>
      <c r="F2806" s="157" t="s">
        <v>379</v>
      </c>
      <c r="H2806" s="138">
        <v>1153</v>
      </c>
      <c r="I2806" s="139" t="e">
        <f>VLOOKUP(H2806,Stock_list!A:R,18,FALSE)</f>
        <v>#N/A</v>
      </c>
      <c r="J2806" s="139" t="e">
        <f>VLOOKUP(H2806,Stock_list!A:S,17,FALSE)</f>
        <v>#N/A</v>
      </c>
      <c r="K2806" s="51" t="e">
        <f>VLOOKUP(H2806,Stock_list!A:T,16,FALSE)</f>
        <v>#N/A</v>
      </c>
      <c r="L2806" s="4">
        <v>44536</v>
      </c>
      <c r="M2806" s="132">
        <v>4</v>
      </c>
      <c r="P2806" s="4" t="e">
        <f>VLOOKUP(H2806,Stock_list!A:Y,25,FALSE)</f>
        <v>#N/A</v>
      </c>
      <c r="T2806" s="144"/>
      <c r="U2806" s="145" t="e">
        <f>VLOOKUP(H2806,Stock_list!A:N,14,FALSE)</f>
        <v>#N/A</v>
      </c>
    </row>
    <row r="2807" spans="1:21" ht="16.5" customHeight="1">
      <c r="A2807" s="159" t="s">
        <v>267</v>
      </c>
      <c r="B2807" s="114" t="str">
        <f>VLOOKUP(A2807,'Data pick slip'!B:F,5,FALSE)</f>
        <v>KHJ-MC600-00</v>
      </c>
      <c r="F2807" s="157" t="s">
        <v>379</v>
      </c>
      <c r="H2807" s="138">
        <v>1153</v>
      </c>
      <c r="I2807" s="139" t="e">
        <f>VLOOKUP(H2807,Stock_list!A:R,18,FALSE)</f>
        <v>#N/A</v>
      </c>
      <c r="J2807" s="139" t="e">
        <f>VLOOKUP(H2807,Stock_list!A:S,17,FALSE)</f>
        <v>#N/A</v>
      </c>
      <c r="K2807" s="51" t="e">
        <f>VLOOKUP(H2807,Stock_list!A:T,16,FALSE)</f>
        <v>#N/A</v>
      </c>
      <c r="L2807" s="4">
        <v>44536</v>
      </c>
      <c r="M2807" s="132">
        <v>4</v>
      </c>
      <c r="P2807" s="4" t="e">
        <f>VLOOKUP(H2807,Stock_list!A:Y,25,FALSE)</f>
        <v>#N/A</v>
      </c>
      <c r="T2807" s="144"/>
      <c r="U2807" s="145" t="e">
        <f>VLOOKUP(H2807,Stock_list!A:N,14,FALSE)</f>
        <v>#N/A</v>
      </c>
    </row>
    <row r="2808" spans="1:21" ht="16.5" customHeight="1">
      <c r="A2808" s="159" t="s">
        <v>268</v>
      </c>
      <c r="B2808" s="114" t="str">
        <f>VLOOKUP(A2808,'Data pick slip'!B:F,5,FALSE)</f>
        <v>KHJ-MC700-00</v>
      </c>
      <c r="F2808" s="157" t="s">
        <v>379</v>
      </c>
      <c r="H2808" s="138">
        <v>1153</v>
      </c>
      <c r="I2808" s="139" t="e">
        <f>VLOOKUP(H2808,Stock_list!A:R,18,FALSE)</f>
        <v>#N/A</v>
      </c>
      <c r="J2808" s="139" t="e">
        <f>VLOOKUP(H2808,Stock_list!A:S,17,FALSE)</f>
        <v>#N/A</v>
      </c>
      <c r="K2808" s="51" t="e">
        <f>VLOOKUP(H2808,Stock_list!A:T,16,FALSE)</f>
        <v>#N/A</v>
      </c>
      <c r="L2808" s="4">
        <v>44536</v>
      </c>
      <c r="M2808" s="132">
        <v>3</v>
      </c>
      <c r="P2808" s="4" t="e">
        <f>VLOOKUP(H2808,Stock_list!A:Y,25,FALSE)</f>
        <v>#N/A</v>
      </c>
      <c r="T2808" s="144"/>
      <c r="U2808" s="145" t="e">
        <f>VLOOKUP(H2808,Stock_list!A:N,14,FALSE)</f>
        <v>#N/A</v>
      </c>
    </row>
    <row r="2809" spans="1:21" ht="16.5" customHeight="1">
      <c r="A2809" s="159" t="s">
        <v>261</v>
      </c>
      <c r="B2809" s="114" t="str">
        <f>VLOOKUP(A2809,'Data pick slip'!B:F,5,FALSE)</f>
        <v>KHJ-MC100-00</v>
      </c>
      <c r="F2809" s="157" t="s">
        <v>227</v>
      </c>
      <c r="H2809" s="138">
        <v>1210</v>
      </c>
      <c r="I2809" s="139" t="e">
        <f>VLOOKUP(H2809,Stock_list!A:R,18,FALSE)</f>
        <v>#N/A</v>
      </c>
      <c r="J2809" s="139" t="e">
        <f>VLOOKUP(H2809,Stock_list!A:S,17,FALSE)</f>
        <v>#N/A</v>
      </c>
      <c r="K2809" s="51" t="e">
        <f>VLOOKUP(H2809,Stock_list!A:T,16,FALSE)</f>
        <v>#N/A</v>
      </c>
      <c r="L2809" s="4">
        <v>44428</v>
      </c>
      <c r="M2809" s="132">
        <v>150</v>
      </c>
      <c r="N2809" s="146"/>
      <c r="P2809" s="4" t="e">
        <f>VLOOKUP(H2809,Stock_list!A:Y,25,FALSE)</f>
        <v>#N/A</v>
      </c>
      <c r="Q2809" s="143"/>
      <c r="T2809" s="144"/>
      <c r="U2809" s="145" t="e">
        <f>VLOOKUP(H2809,Stock_list!A:N,14,FALSE)</f>
        <v>#N/A</v>
      </c>
    </row>
    <row r="2810" spans="1:21" ht="16.5" customHeight="1">
      <c r="A2810" s="159" t="s">
        <v>264</v>
      </c>
      <c r="B2810" s="114" t="str">
        <f>VLOOKUP(A2810,'Data pick slip'!B:F,5,FALSE)</f>
        <v>KHJ-MC200-00</v>
      </c>
      <c r="F2810" s="157" t="s">
        <v>227</v>
      </c>
      <c r="H2810" s="138">
        <v>1210</v>
      </c>
      <c r="I2810" s="139" t="e">
        <f>VLOOKUP(H2810,Stock_list!A:R,18,FALSE)</f>
        <v>#N/A</v>
      </c>
      <c r="J2810" s="139" t="e">
        <f>VLOOKUP(H2810,Stock_list!A:S,17,FALSE)</f>
        <v>#N/A</v>
      </c>
      <c r="K2810" s="51" t="e">
        <f>VLOOKUP(H2810,Stock_list!A:T,16,FALSE)</f>
        <v>#N/A</v>
      </c>
      <c r="L2810" s="4">
        <v>44428</v>
      </c>
      <c r="M2810" s="132">
        <v>10</v>
      </c>
      <c r="N2810" s="146"/>
      <c r="P2810" s="4" t="e">
        <f>VLOOKUP(H2810,Stock_list!A:Y,25,FALSE)</f>
        <v>#N/A</v>
      </c>
      <c r="Q2810" s="143"/>
      <c r="T2810" s="144"/>
      <c r="U2810" s="145" t="e">
        <f>VLOOKUP(H2810,Stock_list!A:N,14,FALSE)</f>
        <v>#N/A</v>
      </c>
    </row>
    <row r="2811" spans="1:21" ht="16.5" customHeight="1">
      <c r="A2811" s="159" t="s">
        <v>294</v>
      </c>
      <c r="B2811" s="114" t="str">
        <f>VLOOKUP(A2811,'Data pick slip'!B:F,5,FALSE)</f>
        <v>KHJ-MC400-00</v>
      </c>
      <c r="F2811" s="157" t="s">
        <v>227</v>
      </c>
      <c r="H2811" s="138">
        <v>1210</v>
      </c>
      <c r="I2811" s="139" t="e">
        <f>VLOOKUP(H2811,Stock_list!A:R,18,FALSE)</f>
        <v>#N/A</v>
      </c>
      <c r="J2811" s="139" t="e">
        <f>VLOOKUP(H2811,Stock_list!A:S,17,FALSE)</f>
        <v>#N/A</v>
      </c>
      <c r="K2811" s="51" t="e">
        <f>VLOOKUP(H2811,Stock_list!A:T,16,FALSE)</f>
        <v>#N/A</v>
      </c>
      <c r="L2811" s="4">
        <v>44428</v>
      </c>
      <c r="M2811" s="132">
        <v>10</v>
      </c>
      <c r="N2811" s="146"/>
      <c r="P2811" s="4" t="e">
        <f>VLOOKUP(H2811,Stock_list!A:Y,25,FALSE)</f>
        <v>#N/A</v>
      </c>
      <c r="Q2811" s="143"/>
      <c r="T2811" s="144"/>
      <c r="U2811" s="145" t="e">
        <f>VLOOKUP(H2811,Stock_list!A:N,14,FALSE)</f>
        <v>#N/A</v>
      </c>
    </row>
    <row r="2812" spans="1:21" ht="16.5" customHeight="1">
      <c r="A2812" s="159" t="s">
        <v>266</v>
      </c>
      <c r="B2812" s="114" t="str">
        <f>VLOOKUP(A2812,'Data pick slip'!B:F,5,FALSE)</f>
        <v>KHJ-MC500-00</v>
      </c>
      <c r="F2812" s="157" t="s">
        <v>227</v>
      </c>
      <c r="H2812" s="138">
        <v>1210</v>
      </c>
      <c r="I2812" s="139" t="e">
        <f>VLOOKUP(H2812,Stock_list!A:R,18,FALSE)</f>
        <v>#N/A</v>
      </c>
      <c r="J2812" s="139" t="e">
        <f>VLOOKUP(H2812,Stock_list!A:S,17,FALSE)</f>
        <v>#N/A</v>
      </c>
      <c r="K2812" s="51" t="e">
        <f>VLOOKUP(H2812,Stock_list!A:T,16,FALSE)</f>
        <v>#N/A</v>
      </c>
      <c r="L2812" s="4">
        <v>44428</v>
      </c>
      <c r="M2812" s="132">
        <v>1</v>
      </c>
      <c r="N2812" s="146"/>
      <c r="P2812" s="4" t="e">
        <f>VLOOKUP(H2812,Stock_list!A:Y,25,FALSE)</f>
        <v>#N/A</v>
      </c>
      <c r="Q2812" s="143"/>
      <c r="T2812" s="144"/>
      <c r="U2812" s="145" t="e">
        <f>VLOOKUP(H2812,Stock_list!A:N,14,FALSE)</f>
        <v>#N/A</v>
      </c>
    </row>
    <row r="2813" spans="1:21" ht="16.5" customHeight="1">
      <c r="A2813" s="159" t="s">
        <v>261</v>
      </c>
      <c r="B2813" s="114" t="str">
        <f>VLOOKUP(A2813,'Data pick slip'!B:F,5,FALSE)</f>
        <v>KHJ-MC100-00</v>
      </c>
      <c r="F2813" s="157" t="s">
        <v>227</v>
      </c>
      <c r="H2813" s="138">
        <v>1210</v>
      </c>
      <c r="I2813" s="139" t="e">
        <f>VLOOKUP(H2813,Stock_list!A:R,18,FALSE)</f>
        <v>#N/A</v>
      </c>
      <c r="J2813" s="139" t="e">
        <f>VLOOKUP(H2813,Stock_list!A:S,17,FALSE)</f>
        <v>#N/A</v>
      </c>
      <c r="K2813" s="51" t="e">
        <f>VLOOKUP(H2813,Stock_list!A:T,16,FALSE)</f>
        <v>#N/A</v>
      </c>
      <c r="L2813" s="257" t="s">
        <v>940</v>
      </c>
      <c r="M2813" s="321">
        <v>150</v>
      </c>
      <c r="P2813" s="4" t="e">
        <f>VLOOKUP(H2813,Stock_list!A:Y,25,FALSE)</f>
        <v>#N/A</v>
      </c>
      <c r="Q2813" s="143"/>
      <c r="T2813" s="144"/>
      <c r="U2813" s="145" t="e">
        <f>VLOOKUP(H2813,Stock_list!A:N,14,FALSE)</f>
        <v>#N/A</v>
      </c>
    </row>
    <row r="2814" spans="1:21" ht="16.5" customHeight="1">
      <c r="A2814" s="159" t="s">
        <v>264</v>
      </c>
      <c r="B2814" s="114" t="str">
        <f>VLOOKUP(A2814,'Data pick slip'!B:F,5,FALSE)</f>
        <v>KHJ-MC200-00</v>
      </c>
      <c r="F2814" s="157" t="s">
        <v>227</v>
      </c>
      <c r="H2814" s="138">
        <v>1210</v>
      </c>
      <c r="I2814" s="139" t="e">
        <f>VLOOKUP(H2814,Stock_list!A:R,18,FALSE)</f>
        <v>#N/A</v>
      </c>
      <c r="J2814" s="139" t="e">
        <f>VLOOKUP(H2814,Stock_list!A:S,17,FALSE)</f>
        <v>#N/A</v>
      </c>
      <c r="K2814" s="51" t="e">
        <f>VLOOKUP(H2814,Stock_list!A:T,16,FALSE)</f>
        <v>#N/A</v>
      </c>
      <c r="L2814" s="257" t="s">
        <v>940</v>
      </c>
      <c r="M2814" s="321">
        <v>10</v>
      </c>
      <c r="P2814" s="4" t="e">
        <f>VLOOKUP(H2814,Stock_list!A:Y,25,FALSE)</f>
        <v>#N/A</v>
      </c>
      <c r="Q2814" s="143"/>
      <c r="T2814" s="144"/>
      <c r="U2814" s="145" t="e">
        <f>VLOOKUP(H2814,Stock_list!A:N,14,FALSE)</f>
        <v>#N/A</v>
      </c>
    </row>
    <row r="2815" spans="1:21" ht="16.5" customHeight="1">
      <c r="A2815" s="159" t="s">
        <v>294</v>
      </c>
      <c r="B2815" s="114" t="str">
        <f>VLOOKUP(A2815,'Data pick slip'!B:F,5,FALSE)</f>
        <v>KHJ-MC400-00</v>
      </c>
      <c r="F2815" s="157" t="s">
        <v>227</v>
      </c>
      <c r="H2815" s="138">
        <v>1210</v>
      </c>
      <c r="I2815" s="139" t="e">
        <f>VLOOKUP(H2815,Stock_list!A:R,18,FALSE)</f>
        <v>#N/A</v>
      </c>
      <c r="J2815" s="139" t="e">
        <f>VLOOKUP(H2815,Stock_list!A:S,17,FALSE)</f>
        <v>#N/A</v>
      </c>
      <c r="K2815" s="51" t="e">
        <f>VLOOKUP(H2815,Stock_list!A:T,16,FALSE)</f>
        <v>#N/A</v>
      </c>
      <c r="L2815" s="257" t="s">
        <v>940</v>
      </c>
      <c r="M2815" s="321">
        <v>10</v>
      </c>
      <c r="P2815" s="4" t="e">
        <f>VLOOKUP(H2815,Stock_list!A:Y,25,FALSE)</f>
        <v>#N/A</v>
      </c>
      <c r="Q2815" s="143"/>
      <c r="T2815" s="144"/>
      <c r="U2815" s="145" t="e">
        <f>VLOOKUP(H2815,Stock_list!A:N,14,FALSE)</f>
        <v>#N/A</v>
      </c>
    </row>
    <row r="2816" spans="1:21" ht="16.5" customHeight="1">
      <c r="A2816" s="159" t="s">
        <v>261</v>
      </c>
      <c r="B2816" s="114" t="str">
        <f>VLOOKUP(A2816,'Data pick slip'!B:F,5,FALSE)</f>
        <v>KHJ-MC100-00</v>
      </c>
      <c r="F2816" s="157" t="s">
        <v>270</v>
      </c>
      <c r="H2816" s="138">
        <v>1210</v>
      </c>
      <c r="I2816" s="139" t="e">
        <f>VLOOKUP(H2816,Stock_list!A:R,18,FALSE)</f>
        <v>#N/A</v>
      </c>
      <c r="J2816" s="139" t="e">
        <f>VLOOKUP(H2816,Stock_list!A:S,17,FALSE)</f>
        <v>#N/A</v>
      </c>
      <c r="K2816" s="51" t="e">
        <f>VLOOKUP(H2816,Stock_list!A:T,16,FALSE)</f>
        <v>#N/A</v>
      </c>
      <c r="L2816" s="4">
        <v>44334</v>
      </c>
      <c r="M2816" s="132"/>
      <c r="O2816" s="132">
        <f>50-50</f>
        <v>0</v>
      </c>
      <c r="P2816" s="4" t="e">
        <f>VLOOKUP(H2816,Stock_list!A:Y,25,FALSE)</f>
        <v>#N/A</v>
      </c>
      <c r="Q2816" s="143"/>
      <c r="T2816" s="144"/>
      <c r="U2816" s="145" t="e">
        <f>VLOOKUP(H2816,Stock_list!A:N,14,FALSE)</f>
        <v>#N/A</v>
      </c>
    </row>
    <row r="2817" spans="1:21" ht="16.5" customHeight="1">
      <c r="A2817" s="159" t="s">
        <v>261</v>
      </c>
      <c r="B2817" s="114" t="str">
        <f>VLOOKUP(A2817,'Data pick slip'!B:F,5,FALSE)</f>
        <v>KHJ-MC100-00</v>
      </c>
      <c r="F2817" s="157" t="s">
        <v>227</v>
      </c>
      <c r="H2817" s="138">
        <v>1217</v>
      </c>
      <c r="I2817" s="139" t="e">
        <f>VLOOKUP(H2817,Stock_list!A:R,18,FALSE)</f>
        <v>#N/A</v>
      </c>
      <c r="J2817" s="139" t="e">
        <f>VLOOKUP(H2817,Stock_list!A:S,17,FALSE)</f>
        <v>#N/A</v>
      </c>
      <c r="K2817" s="51" t="e">
        <f>VLOOKUP(H2817,Stock_list!A:T,16,FALSE)</f>
        <v>#N/A</v>
      </c>
      <c r="L2817" s="4">
        <v>44267</v>
      </c>
      <c r="M2817" s="132">
        <v>180</v>
      </c>
      <c r="P2817" s="4" t="e">
        <f>VLOOKUP(H2817,Stock_list!A:Y,25,FALSE)</f>
        <v>#N/A</v>
      </c>
      <c r="Q2817" s="143"/>
      <c r="T2817" s="144"/>
      <c r="U2817" s="145" t="e">
        <f>VLOOKUP(H2817,Stock_list!A:N,14,FALSE)</f>
        <v>#N/A</v>
      </c>
    </row>
    <row r="2818" spans="1:21" ht="16.5" customHeight="1">
      <c r="A2818" s="159" t="s">
        <v>264</v>
      </c>
      <c r="B2818" s="114" t="str">
        <f>VLOOKUP(A2818,'Data pick slip'!B:F,5,FALSE)</f>
        <v>KHJ-MC200-00</v>
      </c>
      <c r="F2818" s="157" t="s">
        <v>227</v>
      </c>
      <c r="H2818" s="138">
        <v>1217</v>
      </c>
      <c r="I2818" s="139" t="e">
        <f>VLOOKUP(H2818,Stock_list!A:R,18,FALSE)</f>
        <v>#N/A</v>
      </c>
      <c r="J2818" s="139" t="e">
        <f>VLOOKUP(H2818,Stock_list!A:S,17,FALSE)</f>
        <v>#N/A</v>
      </c>
      <c r="K2818" s="51" t="e">
        <f>VLOOKUP(H2818,Stock_list!A:T,16,FALSE)</f>
        <v>#N/A</v>
      </c>
      <c r="L2818" s="4">
        <v>44267</v>
      </c>
      <c r="M2818" s="132">
        <v>18</v>
      </c>
      <c r="P2818" s="4" t="e">
        <f>VLOOKUP(H2818,Stock_list!A:Y,25,FALSE)</f>
        <v>#N/A</v>
      </c>
      <c r="Q2818" s="143"/>
      <c r="T2818" s="144"/>
      <c r="U2818" s="145" t="e">
        <f>VLOOKUP(H2818,Stock_list!A:N,14,FALSE)</f>
        <v>#N/A</v>
      </c>
    </row>
    <row r="2819" spans="1:21" ht="16.5" customHeight="1">
      <c r="A2819" s="159" t="s">
        <v>266</v>
      </c>
      <c r="B2819" s="281" t="str">
        <f>VLOOKUP(A2819,'Data pick slip'!B:F,5,FALSE)</f>
        <v>KHJ-MC500-00</v>
      </c>
      <c r="F2819" s="157" t="s">
        <v>270</v>
      </c>
      <c r="H2819" s="138">
        <v>1217</v>
      </c>
      <c r="I2819" s="139" t="e">
        <f>VLOOKUP(H2819,Stock_list!A:R,18,FALSE)</f>
        <v>#N/A</v>
      </c>
      <c r="J2819" s="139" t="e">
        <f>VLOOKUP(H2819,Stock_list!A:S,17,FALSE)</f>
        <v>#N/A</v>
      </c>
      <c r="K2819" s="51" t="e">
        <f>VLOOKUP(H2819,Stock_list!A:T,16,FALSE)</f>
        <v>#N/A</v>
      </c>
      <c r="L2819" s="4">
        <v>44267</v>
      </c>
      <c r="M2819" s="132">
        <v>4</v>
      </c>
      <c r="P2819" s="4" t="e">
        <f>VLOOKUP(H2819,Stock_list!A:Y,25,FALSE)</f>
        <v>#N/A</v>
      </c>
      <c r="Q2819" s="143"/>
      <c r="S2819" s="268" t="s">
        <v>295</v>
      </c>
      <c r="T2819" s="285" t="s">
        <v>903</v>
      </c>
      <c r="U2819" s="145" t="e">
        <f>VLOOKUP(H2819,Stock_list!A:N,14,FALSE)</f>
        <v>#N/A</v>
      </c>
    </row>
    <row r="2820" spans="1:21" ht="16.5" customHeight="1">
      <c r="A2820" s="159" t="s">
        <v>261</v>
      </c>
      <c r="B2820" s="114" t="str">
        <f>VLOOKUP(A2820,'Data pick slip'!B:F,5,FALSE)</f>
        <v>KHJ-MC100-00</v>
      </c>
      <c r="F2820" s="157" t="s">
        <v>227</v>
      </c>
      <c r="H2820" s="138">
        <v>1225</v>
      </c>
      <c r="I2820" s="139" t="e">
        <f>VLOOKUP(H2820,Stock_list!A:R,18,FALSE)</f>
        <v>#N/A</v>
      </c>
      <c r="J2820" s="139" t="e">
        <f>VLOOKUP(H2820,Stock_list!A:S,17,FALSE)</f>
        <v>#N/A</v>
      </c>
      <c r="K2820" s="51" t="e">
        <f>VLOOKUP(H2820,Stock_list!A:T,16,FALSE)</f>
        <v>#N/A</v>
      </c>
      <c r="L2820" s="4">
        <v>44623</v>
      </c>
      <c r="M2820" s="132">
        <v>5</v>
      </c>
      <c r="P2820" s="4" t="e">
        <f>VLOOKUP(H2820,Stock_list!A:Y,25,FALSE)</f>
        <v>#N/A</v>
      </c>
      <c r="Q2820" s="143"/>
      <c r="T2820" s="144"/>
      <c r="U2820" s="145" t="e">
        <f>VLOOKUP(H2820,Stock_list!A:N,14,FALSE)</f>
        <v>#N/A</v>
      </c>
    </row>
    <row r="2821" spans="1:21" ht="16.5" customHeight="1">
      <c r="A2821" s="159" t="s">
        <v>261</v>
      </c>
      <c r="B2821" s="114" t="str">
        <f>VLOOKUP(A2821,'Data pick slip'!B:F,5,FALSE)</f>
        <v>KHJ-MC100-00</v>
      </c>
      <c r="F2821" s="157" t="s">
        <v>227</v>
      </c>
      <c r="H2821" s="138">
        <v>1225</v>
      </c>
      <c r="I2821" s="139" t="e">
        <f>VLOOKUP(H2821,Stock_list!A:R,18,FALSE)</f>
        <v>#N/A</v>
      </c>
      <c r="J2821" s="139" t="e">
        <f>VLOOKUP(H2821,Stock_list!A:S,17,FALSE)</f>
        <v>#N/A</v>
      </c>
      <c r="K2821" s="51" t="e">
        <f>VLOOKUP(H2821,Stock_list!A:T,16,FALSE)</f>
        <v>#N/A</v>
      </c>
      <c r="L2821" s="4">
        <v>44477</v>
      </c>
      <c r="M2821" s="132">
        <v>2</v>
      </c>
      <c r="P2821" s="4" t="e">
        <f>VLOOKUP(H2821,Stock_list!A:Y,25,FALSE)</f>
        <v>#N/A</v>
      </c>
      <c r="Q2821" s="143"/>
      <c r="T2821" s="144"/>
      <c r="U2821" s="145" t="e">
        <f>VLOOKUP(H2821,Stock_list!A:N,14,FALSE)</f>
        <v>#N/A</v>
      </c>
    </row>
    <row r="2822" spans="1:21" ht="16.5" customHeight="1">
      <c r="A2822" s="159" t="s">
        <v>261</v>
      </c>
      <c r="B2822" s="114" t="str">
        <f>VLOOKUP(A2822,'Data pick slip'!B:F,5,FALSE)</f>
        <v>KHJ-MC100-00</v>
      </c>
      <c r="F2822" s="157" t="s">
        <v>227</v>
      </c>
      <c r="H2822" s="138">
        <v>1225</v>
      </c>
      <c r="I2822" s="139" t="e">
        <f>VLOOKUP(H2822,Stock_list!A:R,18,FALSE)</f>
        <v>#N/A</v>
      </c>
      <c r="J2822" s="139" t="e">
        <f>VLOOKUP(H2822,Stock_list!A:S,17,FALSE)</f>
        <v>#N/A</v>
      </c>
      <c r="K2822" s="51" t="e">
        <f>VLOOKUP(H2822,Stock_list!A:T,16,FALSE)</f>
        <v>#N/A</v>
      </c>
      <c r="L2822" s="4">
        <v>44508</v>
      </c>
      <c r="M2822" s="132">
        <v>2</v>
      </c>
      <c r="P2822" s="4" t="e">
        <f>VLOOKUP(H2822,Stock_list!A:Y,25,FALSE)</f>
        <v>#N/A</v>
      </c>
      <c r="Q2822" s="143"/>
      <c r="T2822" s="144"/>
      <c r="U2822" s="145" t="e">
        <f>VLOOKUP(H2822,Stock_list!A:N,14,FALSE)</f>
        <v>#N/A</v>
      </c>
    </row>
    <row r="2823" spans="1:21" ht="16.5" customHeight="1">
      <c r="A2823" s="159" t="s">
        <v>261</v>
      </c>
      <c r="B2823" s="114" t="str">
        <f>VLOOKUP(A2823,'Data pick slip'!B:F,5,FALSE)</f>
        <v>KHJ-MC100-00</v>
      </c>
      <c r="F2823" s="157" t="s">
        <v>227</v>
      </c>
      <c r="H2823" s="138">
        <v>1225</v>
      </c>
      <c r="I2823" s="139" t="e">
        <f>VLOOKUP(H2823,Stock_list!A:R,18,FALSE)</f>
        <v>#N/A</v>
      </c>
      <c r="J2823" s="139" t="e">
        <f>VLOOKUP(H2823,Stock_list!A:S,17,FALSE)</f>
        <v>#N/A</v>
      </c>
      <c r="K2823" s="51" t="e">
        <f>VLOOKUP(H2823,Stock_list!A:T,16,FALSE)</f>
        <v>#N/A</v>
      </c>
      <c r="L2823" s="4">
        <v>44623</v>
      </c>
      <c r="M2823" s="132">
        <v>2</v>
      </c>
      <c r="P2823" s="4" t="e">
        <f>VLOOKUP(H2823,Stock_list!A:Y,25,FALSE)</f>
        <v>#N/A</v>
      </c>
      <c r="Q2823" s="143"/>
      <c r="T2823" s="144"/>
      <c r="U2823" s="145" t="e">
        <f>VLOOKUP(H2823,Stock_list!A:N,14,FALSE)</f>
        <v>#N/A</v>
      </c>
    </row>
    <row r="2824" spans="1:21" ht="16.5" customHeight="1">
      <c r="A2824" s="159" t="s">
        <v>261</v>
      </c>
      <c r="B2824" s="114" t="str">
        <f>VLOOKUP(A2824,'Data pick slip'!B:F,5,FALSE)</f>
        <v>KHJ-MC100-00</v>
      </c>
      <c r="F2824" s="157" t="s">
        <v>227</v>
      </c>
      <c r="H2824" s="138">
        <v>1225</v>
      </c>
      <c r="I2824" s="139" t="e">
        <f>VLOOKUP(H2824,Stock_list!A:R,18,FALSE)</f>
        <v>#N/A</v>
      </c>
      <c r="J2824" s="139" t="e">
        <f>VLOOKUP(H2824,Stock_list!A:S,17,FALSE)</f>
        <v>#N/A</v>
      </c>
      <c r="K2824" s="51" t="e">
        <f>VLOOKUP(H2824,Stock_list!A:T,16,FALSE)</f>
        <v>#N/A</v>
      </c>
      <c r="L2824" s="4">
        <v>44544</v>
      </c>
      <c r="M2824" s="132">
        <v>2</v>
      </c>
      <c r="P2824" s="4" t="e">
        <f>VLOOKUP(H2824,Stock_list!A:Y,25,FALSE)</f>
        <v>#N/A</v>
      </c>
      <c r="Q2824" s="143"/>
      <c r="T2824" s="144"/>
      <c r="U2824" s="145" t="e">
        <f>VLOOKUP(H2824,Stock_list!A:N,14,FALSE)</f>
        <v>#N/A</v>
      </c>
    </row>
    <row r="2825" spans="1:21" ht="16.5" customHeight="1">
      <c r="A2825" s="159" t="s">
        <v>261</v>
      </c>
      <c r="B2825" s="114" t="str">
        <f>VLOOKUP(A2825,'Data pick slip'!B:F,5,FALSE)</f>
        <v>KHJ-MC100-00</v>
      </c>
      <c r="F2825" s="157" t="s">
        <v>227</v>
      </c>
      <c r="H2825" s="138">
        <v>1225</v>
      </c>
      <c r="I2825" s="139" t="e">
        <f>VLOOKUP(H2825,Stock_list!A:R,18,FALSE)</f>
        <v>#N/A</v>
      </c>
      <c r="J2825" s="139" t="e">
        <f>VLOOKUP(H2825,Stock_list!A:S,17,FALSE)</f>
        <v>#N/A</v>
      </c>
      <c r="K2825" s="51" t="e">
        <f>VLOOKUP(H2825,Stock_list!A:T,16,FALSE)</f>
        <v>#N/A</v>
      </c>
      <c r="L2825" s="4">
        <v>44574</v>
      </c>
      <c r="M2825" s="132">
        <v>2</v>
      </c>
      <c r="P2825" s="4" t="e">
        <f>VLOOKUP(H2825,Stock_list!A:Y,25,FALSE)</f>
        <v>#N/A</v>
      </c>
      <c r="Q2825" s="143"/>
      <c r="T2825" s="144"/>
      <c r="U2825" s="145" t="e">
        <f>VLOOKUP(H2825,Stock_list!A:N,14,FALSE)</f>
        <v>#N/A</v>
      </c>
    </row>
    <row r="2826" spans="1:21" ht="16.5" customHeight="1">
      <c r="A2826" s="159" t="s">
        <v>261</v>
      </c>
      <c r="B2826" s="114" t="str">
        <f>VLOOKUP(A2826,'Data pick slip'!B:F,5,FALSE)</f>
        <v>KHJ-MC100-00</v>
      </c>
      <c r="F2826" s="157" t="s">
        <v>227</v>
      </c>
      <c r="H2826" s="138">
        <v>1246</v>
      </c>
      <c r="I2826" s="139" t="e">
        <f>VLOOKUP(H2826,Stock_list!A:R,18,FALSE)</f>
        <v>#N/A</v>
      </c>
      <c r="J2826" s="139" t="e">
        <f>VLOOKUP(H2826,Stock_list!A:S,17,FALSE)</f>
        <v>#N/A</v>
      </c>
      <c r="K2826" s="51" t="e">
        <f>VLOOKUP(H2826,Stock_list!A:T,16,FALSE)</f>
        <v>#N/A</v>
      </c>
      <c r="L2826" s="4">
        <v>44510</v>
      </c>
      <c r="M2826" s="132">
        <v>40</v>
      </c>
      <c r="P2826" s="4" t="e">
        <f>VLOOKUP(H2826,Stock_list!A:Y,25,FALSE)</f>
        <v>#N/A</v>
      </c>
      <c r="Q2826" s="143"/>
      <c r="T2826" s="144"/>
      <c r="U2826" s="145" t="e">
        <f>VLOOKUP(H2826,Stock_list!A:N,14,FALSE)</f>
        <v>#N/A</v>
      </c>
    </row>
    <row r="2827" spans="1:21" ht="16.5" customHeight="1">
      <c r="A2827" s="159" t="s">
        <v>264</v>
      </c>
      <c r="B2827" s="114" t="str">
        <f>VLOOKUP(A2827,'Data pick slip'!B:F,5,FALSE)</f>
        <v>KHJ-MC200-00</v>
      </c>
      <c r="F2827" s="157" t="s">
        <v>227</v>
      </c>
      <c r="H2827" s="138">
        <v>1246</v>
      </c>
      <c r="I2827" s="139" t="e">
        <f>VLOOKUP(H2827,Stock_list!A:R,18,FALSE)</f>
        <v>#N/A</v>
      </c>
      <c r="J2827" s="139" t="e">
        <f>VLOOKUP(H2827,Stock_list!A:S,17,FALSE)</f>
        <v>#N/A</v>
      </c>
      <c r="K2827" s="51" t="e">
        <f>VLOOKUP(H2827,Stock_list!A:T,16,FALSE)</f>
        <v>#N/A</v>
      </c>
      <c r="L2827" s="4">
        <v>44510</v>
      </c>
      <c r="M2827" s="132">
        <v>12</v>
      </c>
      <c r="P2827" s="4" t="e">
        <f>VLOOKUP(H2827,Stock_list!A:Y,25,FALSE)</f>
        <v>#N/A</v>
      </c>
      <c r="Q2827" s="143"/>
      <c r="T2827" s="144"/>
      <c r="U2827" s="145" t="e">
        <f>VLOOKUP(H2827,Stock_list!A:N,14,FALSE)</f>
        <v>#N/A</v>
      </c>
    </row>
    <row r="2828" spans="1:21" ht="16.5" customHeight="1">
      <c r="A2828" s="159" t="s">
        <v>265</v>
      </c>
      <c r="B2828" s="114" t="str">
        <f>VLOOKUP(A2828,'Data pick slip'!B:F,5,FALSE)</f>
        <v>KHJ-MC400-00</v>
      </c>
      <c r="F2828" s="157" t="s">
        <v>227</v>
      </c>
      <c r="H2828" s="138">
        <v>1246</v>
      </c>
      <c r="I2828" s="139" t="e">
        <f>VLOOKUP(H2828,Stock_list!A:R,18,FALSE)</f>
        <v>#N/A</v>
      </c>
      <c r="J2828" s="139" t="e">
        <f>VLOOKUP(H2828,Stock_list!A:S,17,FALSE)</f>
        <v>#N/A</v>
      </c>
      <c r="K2828" s="51" t="e">
        <f>VLOOKUP(H2828,Stock_list!A:T,16,FALSE)</f>
        <v>#N/A</v>
      </c>
      <c r="L2828" s="4">
        <v>44510</v>
      </c>
      <c r="M2828" s="132">
        <v>3</v>
      </c>
      <c r="P2828" s="4" t="e">
        <f>VLOOKUP(H2828,Stock_list!A:Y,25,FALSE)</f>
        <v>#N/A</v>
      </c>
      <c r="Q2828" s="143"/>
      <c r="T2828" s="144"/>
      <c r="U2828" s="145" t="e">
        <f>VLOOKUP(H2828,Stock_list!A:N,14,FALSE)</f>
        <v>#N/A</v>
      </c>
    </row>
    <row r="2829" spans="1:21" ht="16.5" customHeight="1">
      <c r="A2829" s="159" t="s">
        <v>266</v>
      </c>
      <c r="B2829" s="114" t="str">
        <f>VLOOKUP(A2829,'Data pick slip'!B:F,5,FALSE)</f>
        <v>KHJ-MC500-00</v>
      </c>
      <c r="F2829" s="157" t="s">
        <v>227</v>
      </c>
      <c r="H2829" s="138">
        <v>1246</v>
      </c>
      <c r="I2829" s="139" t="e">
        <f>VLOOKUP(H2829,Stock_list!A:R,18,FALSE)</f>
        <v>#N/A</v>
      </c>
      <c r="J2829" s="139" t="e">
        <f>VLOOKUP(H2829,Stock_list!A:S,17,FALSE)</f>
        <v>#N/A</v>
      </c>
      <c r="K2829" s="51" t="e">
        <f>VLOOKUP(H2829,Stock_list!A:T,16,FALSE)</f>
        <v>#N/A</v>
      </c>
      <c r="L2829" s="4">
        <v>44510</v>
      </c>
      <c r="M2829" s="132">
        <v>2</v>
      </c>
      <c r="P2829" s="4" t="e">
        <f>VLOOKUP(H2829,Stock_list!A:Y,25,FALSE)</f>
        <v>#N/A</v>
      </c>
      <c r="Q2829" s="143"/>
      <c r="T2829" s="144"/>
      <c r="U2829" s="145" t="e">
        <f>VLOOKUP(H2829,Stock_list!A:N,14,FALSE)</f>
        <v>#N/A</v>
      </c>
    </row>
    <row r="2830" spans="1:21" ht="16.5" customHeight="1">
      <c r="A2830" s="159" t="s">
        <v>261</v>
      </c>
      <c r="B2830" s="114" t="str">
        <f>VLOOKUP(A2830,'Data pick slip'!B:F,5,FALSE)</f>
        <v>KHJ-MC100-00</v>
      </c>
      <c r="F2830" s="157" t="s">
        <v>270</v>
      </c>
      <c r="H2830" s="138">
        <v>1246</v>
      </c>
      <c r="I2830" s="139" t="e">
        <f>VLOOKUP(H2830,Stock_list!A:R,18,FALSE)</f>
        <v>#N/A</v>
      </c>
      <c r="J2830" s="139" t="e">
        <f>VLOOKUP(H2830,Stock_list!A:S,17,FALSE)</f>
        <v>#N/A</v>
      </c>
      <c r="K2830" s="51" t="e">
        <f>VLOOKUP(H2830,Stock_list!A:T,16,FALSE)</f>
        <v>#N/A</v>
      </c>
      <c r="L2830" s="4">
        <v>44406</v>
      </c>
      <c r="M2830" s="132"/>
      <c r="O2830" s="132">
        <f>30+10-40</f>
        <v>0</v>
      </c>
      <c r="P2830" s="4" t="e">
        <f>VLOOKUP(H2830,Stock_list!A:Y,25,FALSE)</f>
        <v>#N/A</v>
      </c>
      <c r="Q2830" s="143"/>
      <c r="T2830" s="144"/>
      <c r="U2830" s="145" t="e">
        <f>VLOOKUP(H2830,Stock_list!A:N,14,FALSE)</f>
        <v>#N/A</v>
      </c>
    </row>
    <row r="2831" spans="1:21" ht="16.5" customHeight="1">
      <c r="A2831" s="159" t="s">
        <v>264</v>
      </c>
      <c r="B2831" s="114" t="str">
        <f>VLOOKUP(A2831,'Data pick slip'!B:F,5,FALSE)</f>
        <v>KHJ-MC200-00</v>
      </c>
      <c r="F2831" s="157" t="s">
        <v>270</v>
      </c>
      <c r="H2831" s="138">
        <v>1246</v>
      </c>
      <c r="I2831" s="139" t="e">
        <f>VLOOKUP(H2831,Stock_list!A:R,18,FALSE)</f>
        <v>#N/A</v>
      </c>
      <c r="J2831" s="139" t="e">
        <f>VLOOKUP(H2831,Stock_list!A:S,17,FALSE)</f>
        <v>#N/A</v>
      </c>
      <c r="K2831" s="51" t="e">
        <f>VLOOKUP(H2831,Stock_list!A:T,16,FALSE)</f>
        <v>#N/A</v>
      </c>
      <c r="L2831" s="4">
        <v>44406</v>
      </c>
      <c r="M2831" s="132"/>
      <c r="O2831" s="132">
        <f>12-12</f>
        <v>0</v>
      </c>
      <c r="P2831" s="4" t="e">
        <f>VLOOKUP(H2831,Stock_list!A:Y,25,FALSE)</f>
        <v>#N/A</v>
      </c>
      <c r="Q2831" s="143"/>
      <c r="T2831" s="144"/>
      <c r="U2831" s="145" t="e">
        <f>VLOOKUP(H2831,Stock_list!A:N,14,FALSE)</f>
        <v>#N/A</v>
      </c>
    </row>
    <row r="2832" spans="1:21" ht="16.5" customHeight="1">
      <c r="A2832" s="159" t="s">
        <v>265</v>
      </c>
      <c r="B2832" s="114" t="str">
        <f>VLOOKUP(A2832,'Data pick slip'!B:F,5,FALSE)</f>
        <v>KHJ-MC400-00</v>
      </c>
      <c r="F2832" s="157" t="s">
        <v>270</v>
      </c>
      <c r="H2832" s="138">
        <v>1246</v>
      </c>
      <c r="I2832" s="139" t="e">
        <f>VLOOKUP(H2832,Stock_list!A:R,18,FALSE)</f>
        <v>#N/A</v>
      </c>
      <c r="J2832" s="139" t="e">
        <f>VLOOKUP(H2832,Stock_list!A:S,17,FALSE)</f>
        <v>#N/A</v>
      </c>
      <c r="K2832" s="51" t="e">
        <f>VLOOKUP(H2832,Stock_list!A:T,16,FALSE)</f>
        <v>#N/A</v>
      </c>
      <c r="L2832" s="4">
        <v>44406</v>
      </c>
      <c r="M2832" s="132"/>
      <c r="O2832" s="132">
        <f>3-3</f>
        <v>0</v>
      </c>
      <c r="P2832" s="4" t="e">
        <f>VLOOKUP(H2832,Stock_list!A:Y,25,FALSE)</f>
        <v>#N/A</v>
      </c>
      <c r="Q2832" s="143"/>
      <c r="T2832" s="144"/>
      <c r="U2832" s="145" t="e">
        <f>VLOOKUP(H2832,Stock_list!A:N,14,FALSE)</f>
        <v>#N/A</v>
      </c>
    </row>
    <row r="2833" spans="1:21" ht="16.5" customHeight="1">
      <c r="A2833" s="159" t="s">
        <v>266</v>
      </c>
      <c r="B2833" s="114" t="str">
        <f>VLOOKUP(A2833,'Data pick slip'!B:F,5,FALSE)</f>
        <v>KHJ-MC500-00</v>
      </c>
      <c r="F2833" s="157" t="s">
        <v>270</v>
      </c>
      <c r="H2833" s="138">
        <v>1246</v>
      </c>
      <c r="I2833" s="139" t="e">
        <f>VLOOKUP(H2833,Stock_list!A:R,18,FALSE)</f>
        <v>#N/A</v>
      </c>
      <c r="J2833" s="139" t="e">
        <f>VLOOKUP(H2833,Stock_list!A:S,17,FALSE)</f>
        <v>#N/A</v>
      </c>
      <c r="K2833" s="51" t="e">
        <f>VLOOKUP(H2833,Stock_list!A:T,16,FALSE)</f>
        <v>#N/A</v>
      </c>
      <c r="L2833" s="4">
        <v>44435</v>
      </c>
      <c r="M2833" s="132"/>
      <c r="O2833" s="132">
        <f>2-2</f>
        <v>0</v>
      </c>
      <c r="P2833" s="4" t="e">
        <f>VLOOKUP(H2833,Stock_list!A:Y,25,FALSE)</f>
        <v>#N/A</v>
      </c>
      <c r="Q2833" s="143"/>
      <c r="T2833" s="144"/>
      <c r="U2833" s="145" t="e">
        <f>VLOOKUP(H2833,Stock_list!A:N,14,FALSE)</f>
        <v>#N/A</v>
      </c>
    </row>
    <row r="2834" spans="1:21" ht="16.5" customHeight="1">
      <c r="A2834" s="159" t="s">
        <v>261</v>
      </c>
      <c r="B2834" s="114" t="str">
        <f>VLOOKUP(A2834,'Data pick slip'!B:F,5,FALSE)</f>
        <v>KHJ-MC100-00</v>
      </c>
      <c r="F2834" s="157" t="s">
        <v>227</v>
      </c>
      <c r="H2834" s="138">
        <v>1248</v>
      </c>
      <c r="I2834" s="139" t="e">
        <f>VLOOKUP(H2834,Stock_list!A:R,18,FALSE)</f>
        <v>#N/A</v>
      </c>
      <c r="J2834" s="139" t="e">
        <f>VLOOKUP(H2834,Stock_list!A:S,17,FALSE)</f>
        <v>#N/A</v>
      </c>
      <c r="K2834" s="51" t="e">
        <f>VLOOKUP(H2834,Stock_list!A:T,16,FALSE)</f>
        <v>#N/A</v>
      </c>
      <c r="L2834" s="4">
        <v>44617</v>
      </c>
      <c r="M2834" s="132">
        <v>5</v>
      </c>
      <c r="P2834" s="4" t="e">
        <f>VLOOKUP(H2834,Stock_list!A:Y,25,FALSE)</f>
        <v>#N/A</v>
      </c>
      <c r="Q2834" s="143"/>
      <c r="T2834" s="144"/>
      <c r="U2834" s="145" t="e">
        <f>VLOOKUP(H2834,Stock_list!A:N,14,FALSE)</f>
        <v>#N/A</v>
      </c>
    </row>
    <row r="2835" spans="1:21" ht="16.5" customHeight="1">
      <c r="A2835" s="159" t="s">
        <v>261</v>
      </c>
      <c r="B2835" s="114" t="str">
        <f>VLOOKUP(A2835,'Data pick slip'!B:F,5,FALSE)</f>
        <v>KHJ-MC100-00</v>
      </c>
      <c r="F2835" s="157" t="s">
        <v>227</v>
      </c>
      <c r="H2835" s="138">
        <v>1248</v>
      </c>
      <c r="I2835" s="139" t="e">
        <f>VLOOKUP(H2835,Stock_list!A:R,18,FALSE)</f>
        <v>#N/A</v>
      </c>
      <c r="J2835" s="139" t="e">
        <f>VLOOKUP(H2835,Stock_list!A:S,17,FALSE)</f>
        <v>#N/A</v>
      </c>
      <c r="K2835" s="51" t="e">
        <f>VLOOKUP(H2835,Stock_list!A:T,16,FALSE)</f>
        <v>#N/A</v>
      </c>
      <c r="L2835" s="4">
        <v>44477</v>
      </c>
      <c r="M2835" s="132">
        <v>1</v>
      </c>
      <c r="P2835" s="4" t="e">
        <f>VLOOKUP(H2835,Stock_list!A:Y,25,FALSE)</f>
        <v>#N/A</v>
      </c>
      <c r="Q2835" s="143"/>
      <c r="T2835" s="144"/>
      <c r="U2835" s="145" t="e">
        <f>VLOOKUP(H2835,Stock_list!A:N,14,FALSE)</f>
        <v>#N/A</v>
      </c>
    </row>
    <row r="2836" spans="1:21" ht="16.5" customHeight="1">
      <c r="A2836" s="159" t="s">
        <v>261</v>
      </c>
      <c r="B2836" s="114" t="str">
        <f>VLOOKUP(A2836,'Data pick slip'!B:F,5,FALSE)</f>
        <v>KHJ-MC100-00</v>
      </c>
      <c r="F2836" s="157" t="s">
        <v>227</v>
      </c>
      <c r="H2836" s="138">
        <v>1248</v>
      </c>
      <c r="I2836" s="139" t="e">
        <f>VLOOKUP(H2836,Stock_list!A:R,18,FALSE)</f>
        <v>#N/A</v>
      </c>
      <c r="J2836" s="139" t="e">
        <f>VLOOKUP(H2836,Stock_list!A:S,17,FALSE)</f>
        <v>#N/A</v>
      </c>
      <c r="K2836" s="51" t="e">
        <f>VLOOKUP(H2836,Stock_list!A:T,16,FALSE)</f>
        <v>#N/A</v>
      </c>
      <c r="L2836" s="4">
        <v>44508</v>
      </c>
      <c r="M2836" s="132">
        <v>1</v>
      </c>
      <c r="P2836" s="4" t="e">
        <f>VLOOKUP(H2836,Stock_list!A:Y,25,FALSE)</f>
        <v>#N/A</v>
      </c>
      <c r="Q2836" s="143"/>
      <c r="T2836" s="144"/>
      <c r="U2836" s="145" t="e">
        <f>VLOOKUP(H2836,Stock_list!A:N,14,FALSE)</f>
        <v>#N/A</v>
      </c>
    </row>
    <row r="2837" spans="1:21" ht="16.5" customHeight="1">
      <c r="A2837" s="159" t="s">
        <v>261</v>
      </c>
      <c r="B2837" s="114" t="str">
        <f>VLOOKUP(A2837,'Data pick slip'!B:F,5,FALSE)</f>
        <v>KHJ-MC100-00</v>
      </c>
      <c r="F2837" s="157" t="s">
        <v>227</v>
      </c>
      <c r="H2837" s="138">
        <v>1248</v>
      </c>
      <c r="I2837" s="139" t="e">
        <f>VLOOKUP(H2837,Stock_list!A:R,18,FALSE)</f>
        <v>#N/A</v>
      </c>
      <c r="J2837" s="139" t="e">
        <f>VLOOKUP(H2837,Stock_list!A:S,17,FALSE)</f>
        <v>#N/A</v>
      </c>
      <c r="K2837" s="51" t="e">
        <f>VLOOKUP(H2837,Stock_list!A:T,16,FALSE)</f>
        <v>#N/A</v>
      </c>
      <c r="L2837" s="4">
        <v>44544</v>
      </c>
      <c r="M2837" s="132">
        <v>1</v>
      </c>
      <c r="P2837" s="4" t="e">
        <f>VLOOKUP(H2837,Stock_list!A:Y,25,FALSE)</f>
        <v>#N/A</v>
      </c>
      <c r="Q2837" s="143"/>
      <c r="T2837" s="144"/>
      <c r="U2837" s="145" t="e">
        <f>VLOOKUP(H2837,Stock_list!A:N,14,FALSE)</f>
        <v>#N/A</v>
      </c>
    </row>
    <row r="2838" spans="1:21" ht="16.5" customHeight="1">
      <c r="A2838" s="159" t="s">
        <v>261</v>
      </c>
      <c r="B2838" s="114" t="str">
        <f>VLOOKUP(A2838,'Data pick slip'!B:F,5,FALSE)</f>
        <v>KHJ-MC100-00</v>
      </c>
      <c r="F2838" s="157" t="s">
        <v>227</v>
      </c>
      <c r="H2838" s="138">
        <v>1248</v>
      </c>
      <c r="I2838" s="139" t="e">
        <f>VLOOKUP(H2838,Stock_list!A:R,18,FALSE)</f>
        <v>#N/A</v>
      </c>
      <c r="J2838" s="139" t="e">
        <f>VLOOKUP(H2838,Stock_list!A:S,17,FALSE)</f>
        <v>#N/A</v>
      </c>
      <c r="K2838" s="51" t="e">
        <f>VLOOKUP(H2838,Stock_list!A:T,16,FALSE)</f>
        <v>#N/A</v>
      </c>
      <c r="L2838" s="4">
        <v>44574</v>
      </c>
      <c r="M2838" s="132">
        <v>1</v>
      </c>
      <c r="P2838" s="4" t="e">
        <f>VLOOKUP(H2838,Stock_list!A:Y,25,FALSE)</f>
        <v>#N/A</v>
      </c>
      <c r="Q2838" s="143"/>
      <c r="T2838" s="144"/>
      <c r="U2838" s="145" t="e">
        <f>VLOOKUP(H2838,Stock_list!A:N,14,FALSE)</f>
        <v>#N/A</v>
      </c>
    </row>
    <row r="2839" spans="1:21" ht="16.5" customHeight="1">
      <c r="A2839" s="159" t="s">
        <v>261</v>
      </c>
      <c r="B2839" s="114" t="str">
        <f>VLOOKUP(A2839,'Data pick slip'!B:F,5,FALSE)</f>
        <v>KHJ-MC100-00</v>
      </c>
      <c r="F2839" s="157" t="s">
        <v>227</v>
      </c>
      <c r="H2839" s="138">
        <v>1250</v>
      </c>
      <c r="I2839" s="139" t="e">
        <f>VLOOKUP(H2839,Stock_list!A:R,18,FALSE)</f>
        <v>#N/A</v>
      </c>
      <c r="J2839" s="139" t="e">
        <f>VLOOKUP(H2839,Stock_list!A:S,17,FALSE)</f>
        <v>#N/A</v>
      </c>
      <c r="K2839" s="51" t="e">
        <f>VLOOKUP(H2839,Stock_list!A:T,16,FALSE)</f>
        <v>#N/A</v>
      </c>
      <c r="L2839" s="4">
        <v>44400</v>
      </c>
      <c r="M2839" s="132">
        <v>60</v>
      </c>
      <c r="P2839" s="4" t="e">
        <f>VLOOKUP(H2839,Stock_list!A:Y,25,FALSE)</f>
        <v>#N/A</v>
      </c>
      <c r="Q2839" s="143"/>
      <c r="T2839" s="144"/>
      <c r="U2839" s="145" t="e">
        <f>VLOOKUP(H2839,Stock_list!A:N,14,FALSE)</f>
        <v>#N/A</v>
      </c>
    </row>
    <row r="2840" spans="1:21" ht="16.5" customHeight="1">
      <c r="A2840" s="159" t="s">
        <v>264</v>
      </c>
      <c r="B2840" s="114" t="str">
        <f>VLOOKUP(A2840,'Data pick slip'!B:F,5,FALSE)</f>
        <v>KHJ-MC200-00</v>
      </c>
      <c r="F2840" s="157" t="s">
        <v>227</v>
      </c>
      <c r="H2840" s="138">
        <v>1250</v>
      </c>
      <c r="I2840" s="139" t="e">
        <f>VLOOKUP(H2840,Stock_list!A:R,18,FALSE)</f>
        <v>#N/A</v>
      </c>
      <c r="J2840" s="139" t="e">
        <f>VLOOKUP(H2840,Stock_list!A:S,17,FALSE)</f>
        <v>#N/A</v>
      </c>
      <c r="K2840" s="51" t="e">
        <f>VLOOKUP(H2840,Stock_list!A:T,16,FALSE)</f>
        <v>#N/A</v>
      </c>
      <c r="L2840" s="4">
        <v>44400</v>
      </c>
      <c r="M2840" s="132">
        <v>10</v>
      </c>
      <c r="P2840" s="4" t="e">
        <f>VLOOKUP(H2840,Stock_list!A:Y,25,FALSE)</f>
        <v>#N/A</v>
      </c>
      <c r="Q2840" s="143"/>
      <c r="T2840" s="144"/>
      <c r="U2840" s="145" t="e">
        <f>VLOOKUP(H2840,Stock_list!A:N,14,FALSE)</f>
        <v>#N/A</v>
      </c>
    </row>
    <row r="2841" spans="1:21" ht="16.5" customHeight="1">
      <c r="A2841" s="159" t="s">
        <v>265</v>
      </c>
      <c r="B2841" s="114" t="str">
        <f>VLOOKUP(A2841,'Data pick slip'!B:F,5,FALSE)</f>
        <v>KHJ-MC400-00</v>
      </c>
      <c r="F2841" s="157" t="s">
        <v>227</v>
      </c>
      <c r="H2841" s="138">
        <v>1250</v>
      </c>
      <c r="I2841" s="139" t="e">
        <f>VLOOKUP(H2841,Stock_list!A:R,18,FALSE)</f>
        <v>#N/A</v>
      </c>
      <c r="J2841" s="139" t="e">
        <f>VLOOKUP(H2841,Stock_list!A:S,17,FALSE)</f>
        <v>#N/A</v>
      </c>
      <c r="K2841" s="51" t="e">
        <f>VLOOKUP(H2841,Stock_list!A:T,16,FALSE)</f>
        <v>#N/A</v>
      </c>
      <c r="L2841" s="4">
        <v>44400</v>
      </c>
      <c r="M2841" s="132">
        <v>3</v>
      </c>
      <c r="P2841" s="4" t="e">
        <f>VLOOKUP(H2841,Stock_list!A:Y,25,FALSE)</f>
        <v>#N/A</v>
      </c>
      <c r="Q2841" s="143"/>
      <c r="T2841" s="144"/>
      <c r="U2841" s="145" t="e">
        <f>VLOOKUP(H2841,Stock_list!A:N,14,FALSE)</f>
        <v>#N/A</v>
      </c>
    </row>
    <row r="2842" spans="1:21" ht="16.5" customHeight="1">
      <c r="A2842" s="159" t="s">
        <v>261</v>
      </c>
      <c r="B2842" s="114" t="str">
        <f>VLOOKUP(A2842,'Data pick slip'!B:F,5,FALSE)</f>
        <v>KHJ-MC100-00</v>
      </c>
      <c r="F2842" s="157" t="s">
        <v>227</v>
      </c>
      <c r="H2842" s="138">
        <v>1252</v>
      </c>
      <c r="I2842" s="139" t="e">
        <f>VLOOKUP(H2842,Stock_list!A:R,18,FALSE)</f>
        <v>#N/A</v>
      </c>
      <c r="J2842" s="139" t="e">
        <f>VLOOKUP(H2842,Stock_list!A:S,17,FALSE)</f>
        <v>#N/A</v>
      </c>
      <c r="K2842" s="51" t="e">
        <f>VLOOKUP(H2842,Stock_list!A:T,16,FALSE)</f>
        <v>#N/A</v>
      </c>
      <c r="L2842" s="4">
        <v>44337</v>
      </c>
      <c r="M2842" s="132">
        <v>80</v>
      </c>
      <c r="P2842" s="4" t="e">
        <f>VLOOKUP(H2842,Stock_list!A:Y,25,FALSE)</f>
        <v>#N/A</v>
      </c>
      <c r="Q2842" s="143"/>
      <c r="T2842" s="144"/>
      <c r="U2842" s="145" t="e">
        <f>VLOOKUP(H2842,Stock_list!A:N,14,FALSE)</f>
        <v>#N/A</v>
      </c>
    </row>
    <row r="2843" spans="1:21" ht="16.5" customHeight="1">
      <c r="A2843" s="159" t="s">
        <v>264</v>
      </c>
      <c r="B2843" s="114" t="str">
        <f>VLOOKUP(A2843,'Data pick slip'!B:F,5,FALSE)</f>
        <v>KHJ-MC200-00</v>
      </c>
      <c r="F2843" s="157" t="s">
        <v>227</v>
      </c>
      <c r="H2843" s="138">
        <v>1252</v>
      </c>
      <c r="I2843" s="139" t="e">
        <f>VLOOKUP(H2843,Stock_list!A:R,18,FALSE)</f>
        <v>#N/A</v>
      </c>
      <c r="J2843" s="139" t="e">
        <f>VLOOKUP(H2843,Stock_list!A:S,17,FALSE)</f>
        <v>#N/A</v>
      </c>
      <c r="K2843" s="51" t="e">
        <f>VLOOKUP(H2843,Stock_list!A:T,16,FALSE)</f>
        <v>#N/A</v>
      </c>
      <c r="L2843" s="4">
        <v>44337</v>
      </c>
      <c r="M2843" s="132">
        <v>8</v>
      </c>
      <c r="P2843" s="4" t="e">
        <f>VLOOKUP(H2843,Stock_list!A:Y,25,FALSE)</f>
        <v>#N/A</v>
      </c>
      <c r="Q2843" s="143"/>
      <c r="T2843" s="144"/>
      <c r="U2843" s="145" t="e">
        <f>VLOOKUP(H2843,Stock_list!A:N,14,FALSE)</f>
        <v>#N/A</v>
      </c>
    </row>
    <row r="2844" spans="1:21" ht="16.5" customHeight="1">
      <c r="A2844" s="159" t="s">
        <v>264</v>
      </c>
      <c r="B2844" s="114" t="str">
        <f>VLOOKUP(A2844,'Data pick slip'!B:F,5,FALSE)</f>
        <v>KHJ-MC200-00</v>
      </c>
      <c r="F2844" s="157" t="s">
        <v>270</v>
      </c>
      <c r="I2844" s="139" t="s">
        <v>611</v>
      </c>
      <c r="J2844" s="270" t="s">
        <v>941</v>
      </c>
      <c r="K2844" s="51" t="s">
        <v>225</v>
      </c>
      <c r="L2844" s="4">
        <v>44270</v>
      </c>
      <c r="M2844" s="132">
        <v>5</v>
      </c>
      <c r="P2844" s="4" t="s">
        <v>214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261</v>
      </c>
      <c r="B2845" s="114" t="str">
        <f>VLOOKUP(A2845,'Data pick slip'!B:F,5,FALSE)</f>
        <v>KHJ-MC100-00</v>
      </c>
      <c r="F2845" s="157" t="s">
        <v>270</v>
      </c>
      <c r="H2845" s="138">
        <v>1165</v>
      </c>
      <c r="I2845" s="139" t="e">
        <f>VLOOKUP(H2845,Stock_list!A:R,18,FALSE)</f>
        <v>#N/A</v>
      </c>
      <c r="J2845" s="139" t="e">
        <f>VLOOKUP(H2845,Stock_list!A:S,17,FALSE)</f>
        <v>#N/A</v>
      </c>
      <c r="K2845" s="51" t="e">
        <f>VLOOKUP(H2845,Stock_list!A:T,16,FALSE)</f>
        <v>#N/A</v>
      </c>
      <c r="L2845" s="4">
        <v>44270</v>
      </c>
      <c r="M2845" s="132"/>
      <c r="O2845" s="132">
        <f>20-20</f>
        <v>0</v>
      </c>
      <c r="P2845" s="4" t="e">
        <f>VLOOKUP(H2845,Stock_list!A:Y,25,FALSE)</f>
        <v>#N/A</v>
      </c>
      <c r="Q2845" s="143"/>
      <c r="T2845" s="144"/>
      <c r="U2845" s="145" t="e">
        <f>VLOOKUP(H2845,Stock_list!A:N,14,FALSE)</f>
        <v>#N/A</v>
      </c>
    </row>
    <row r="2846" spans="1:21" ht="16.5" customHeight="1">
      <c r="A2846" s="159" t="s">
        <v>261</v>
      </c>
      <c r="B2846" s="114" t="str">
        <f>VLOOKUP(A2846,'Data pick slip'!B:F,5,FALSE)</f>
        <v>KHJ-MC100-00</v>
      </c>
      <c r="F2846" s="157" t="s">
        <v>227</v>
      </c>
      <c r="H2846" s="138">
        <v>1260</v>
      </c>
      <c r="I2846" s="139" t="e">
        <f>VLOOKUP(H2846,Stock_list!A:R,18,FALSE)</f>
        <v>#N/A</v>
      </c>
      <c r="J2846" s="139" t="e">
        <f>VLOOKUP(H2846,Stock_list!A:S,17,FALSE)</f>
        <v>#N/A</v>
      </c>
      <c r="K2846" s="51" t="e">
        <f>VLOOKUP(H2846,Stock_list!A:T,16,FALSE)</f>
        <v>#N/A</v>
      </c>
      <c r="L2846" s="4">
        <v>44405</v>
      </c>
      <c r="M2846" s="132">
        <v>240</v>
      </c>
      <c r="P2846" s="4" t="e">
        <f>VLOOKUP(H2846,Stock_list!A:Y,25,FALSE)</f>
        <v>#N/A</v>
      </c>
      <c r="Q2846" s="143"/>
      <c r="T2846" s="144"/>
      <c r="U2846" s="145" t="e">
        <f>VLOOKUP(H2846,Stock_list!A:N,14,FALSE)</f>
        <v>#N/A</v>
      </c>
    </row>
    <row r="2847" spans="1:21" ht="16.5" customHeight="1">
      <c r="A2847" s="159" t="s">
        <v>264</v>
      </c>
      <c r="B2847" s="114" t="str">
        <f>VLOOKUP(A2847,'Data pick slip'!B:F,5,FALSE)</f>
        <v>KHJ-MC200-00</v>
      </c>
      <c r="F2847" s="157" t="s">
        <v>227</v>
      </c>
      <c r="H2847" s="138">
        <v>1260</v>
      </c>
      <c r="I2847" s="139" t="e">
        <f>VLOOKUP(H2847,Stock_list!A:R,18,FALSE)</f>
        <v>#N/A</v>
      </c>
      <c r="J2847" s="139" t="e">
        <f>VLOOKUP(H2847,Stock_list!A:S,17,FALSE)</f>
        <v>#N/A</v>
      </c>
      <c r="K2847" s="51" t="e">
        <f>VLOOKUP(H2847,Stock_list!A:T,16,FALSE)</f>
        <v>#N/A</v>
      </c>
      <c r="L2847" s="4">
        <v>44405</v>
      </c>
      <c r="M2847" s="132">
        <v>50</v>
      </c>
      <c r="P2847" s="4" t="e">
        <f>VLOOKUP(H2847,Stock_list!A:Y,25,FALSE)</f>
        <v>#N/A</v>
      </c>
      <c r="Q2847" s="143"/>
      <c r="T2847" s="144"/>
      <c r="U2847" s="145" t="e">
        <f>VLOOKUP(H2847,Stock_list!A:N,14,FALSE)</f>
        <v>#N/A</v>
      </c>
    </row>
    <row r="2848" spans="1:21" ht="16.5" customHeight="1">
      <c r="A2848" s="159" t="s">
        <v>261</v>
      </c>
      <c r="B2848" s="114" t="str">
        <f>VLOOKUP(A2848,'Data pick slip'!B:F,5,FALSE)</f>
        <v>KHJ-MC100-00</v>
      </c>
      <c r="F2848" s="157" t="s">
        <v>227</v>
      </c>
      <c r="H2848" s="138">
        <v>1256</v>
      </c>
      <c r="I2848" s="139" t="e">
        <f>VLOOKUP(H2848,Stock_list!A:R,18,FALSE)</f>
        <v>#N/A</v>
      </c>
      <c r="J2848" s="139" t="e">
        <f>VLOOKUP(H2848,Stock_list!A:S,17,FALSE)</f>
        <v>#N/A</v>
      </c>
      <c r="K2848" s="51" t="e">
        <f>VLOOKUP(H2848,Stock_list!A:T,16,FALSE)</f>
        <v>#N/A</v>
      </c>
      <c r="L2848" s="4">
        <v>44376</v>
      </c>
      <c r="M2848" s="132">
        <v>113</v>
      </c>
      <c r="P2848" s="4" t="e">
        <f>VLOOKUP(H2848,Stock_list!A:Y,25,FALSE)</f>
        <v>#N/A</v>
      </c>
      <c r="Q2848" s="143"/>
      <c r="T2848" s="144"/>
      <c r="U2848" s="145" t="e">
        <f>VLOOKUP(H2848,Stock_list!A:N,14,FALSE)</f>
        <v>#N/A</v>
      </c>
    </row>
    <row r="2849" spans="1:21" ht="16.5" customHeight="1">
      <c r="A2849" s="159" t="s">
        <v>264</v>
      </c>
      <c r="B2849" s="114" t="str">
        <f>VLOOKUP(A2849,'Data pick slip'!B:F,5,FALSE)</f>
        <v>KHJ-MC200-00</v>
      </c>
      <c r="F2849" s="157" t="s">
        <v>227</v>
      </c>
      <c r="H2849" s="138">
        <v>1256</v>
      </c>
      <c r="I2849" s="139" t="e">
        <f>VLOOKUP(H2849,Stock_list!A:R,18,FALSE)</f>
        <v>#N/A</v>
      </c>
      <c r="J2849" s="139" t="e">
        <f>VLOOKUP(H2849,Stock_list!A:S,17,FALSE)</f>
        <v>#N/A</v>
      </c>
      <c r="K2849" s="51" t="e">
        <f>VLOOKUP(H2849,Stock_list!A:T,16,FALSE)</f>
        <v>#N/A</v>
      </c>
      <c r="L2849" s="4">
        <v>44376</v>
      </c>
      <c r="M2849" s="132">
        <v>40</v>
      </c>
      <c r="P2849" s="4" t="e">
        <f>VLOOKUP(H2849,Stock_list!A:Y,25,FALSE)</f>
        <v>#N/A</v>
      </c>
      <c r="Q2849" s="143"/>
      <c r="T2849" s="144"/>
      <c r="U2849" s="145" t="e">
        <f>VLOOKUP(H2849,Stock_list!A:N,14,FALSE)</f>
        <v>#N/A</v>
      </c>
    </row>
    <row r="2850" spans="1:21" ht="16.5" customHeight="1">
      <c r="A2850" s="159" t="s">
        <v>261</v>
      </c>
      <c r="B2850" s="114" t="str">
        <f>VLOOKUP(A2850,'Data pick slip'!B:F,5,FALSE)</f>
        <v>KHJ-MC100-00</v>
      </c>
      <c r="F2850" s="157" t="s">
        <v>227</v>
      </c>
      <c r="H2850" s="138">
        <v>1256</v>
      </c>
      <c r="I2850" s="139" t="e">
        <f>VLOOKUP(H2850,Stock_list!A:R,18,FALSE)</f>
        <v>#N/A</v>
      </c>
      <c r="J2850" s="139" t="e">
        <f>VLOOKUP(H2850,Stock_list!A:S,17,FALSE)</f>
        <v>#N/A</v>
      </c>
      <c r="K2850" s="51" t="e">
        <f>VLOOKUP(H2850,Stock_list!A:T,16,FALSE)</f>
        <v>#N/A</v>
      </c>
      <c r="L2850" s="4">
        <v>44398</v>
      </c>
      <c r="M2850" s="132">
        <f>150-113</f>
        <v>37</v>
      </c>
      <c r="P2850" s="4" t="e">
        <f>VLOOKUP(H2850,Stock_list!A:Y,25,FALSE)</f>
        <v>#N/A</v>
      </c>
      <c r="Q2850" s="143"/>
      <c r="T2850" s="144"/>
      <c r="U2850" s="145" t="e">
        <f>VLOOKUP(H2850,Stock_list!A:N,14,FALSE)</f>
        <v>#N/A</v>
      </c>
    </row>
    <row r="2851" spans="1:21" ht="16.5" customHeight="1">
      <c r="A2851" s="159" t="s">
        <v>264</v>
      </c>
      <c r="B2851" s="114" t="str">
        <f>VLOOKUP(A2851,'Data pick slip'!B:F,5,FALSE)</f>
        <v>KHJ-MC200-00</v>
      </c>
      <c r="F2851" s="157" t="s">
        <v>227</v>
      </c>
      <c r="H2851" s="138">
        <v>1256</v>
      </c>
      <c r="I2851" s="139" t="e">
        <f>VLOOKUP(H2851,Stock_list!A:R,18,FALSE)</f>
        <v>#N/A</v>
      </c>
      <c r="J2851" s="139" t="e">
        <f>VLOOKUP(H2851,Stock_list!A:S,17,FALSE)</f>
        <v>#N/A</v>
      </c>
      <c r="K2851" s="51" t="e">
        <f>VLOOKUP(H2851,Stock_list!A:T,16,FALSE)</f>
        <v>#N/A</v>
      </c>
      <c r="L2851" s="4">
        <v>44398</v>
      </c>
      <c r="M2851" s="132">
        <f>52-40</f>
        <v>12</v>
      </c>
      <c r="P2851" s="4" t="e">
        <f>VLOOKUP(H2851,Stock_list!A:Y,25,FALSE)</f>
        <v>#N/A</v>
      </c>
      <c r="Q2851" s="143"/>
      <c r="T2851" s="144"/>
      <c r="U2851" s="145" t="e">
        <f>VLOOKUP(H2851,Stock_list!A:N,14,FALSE)</f>
        <v>#N/A</v>
      </c>
    </row>
    <row r="2852" spans="1:21" ht="16.5" customHeight="1">
      <c r="A2852" s="159" t="s">
        <v>265</v>
      </c>
      <c r="B2852" s="114" t="str">
        <f>VLOOKUP(A2852,'Data pick slip'!B:F,5,FALSE)</f>
        <v>KHJ-MC400-00</v>
      </c>
      <c r="F2852" s="157" t="s">
        <v>227</v>
      </c>
      <c r="H2852" s="138">
        <v>1256</v>
      </c>
      <c r="I2852" s="139" t="e">
        <f>VLOOKUP(H2852,Stock_list!A:R,18,FALSE)</f>
        <v>#N/A</v>
      </c>
      <c r="J2852" s="139" t="e">
        <f>VLOOKUP(H2852,Stock_list!A:S,17,FALSE)</f>
        <v>#N/A</v>
      </c>
      <c r="K2852" s="51" t="e">
        <f>VLOOKUP(H2852,Stock_list!A:T,16,FALSE)</f>
        <v>#N/A</v>
      </c>
      <c r="L2852" s="4">
        <v>44398</v>
      </c>
      <c r="M2852" s="132">
        <v>1</v>
      </c>
      <c r="P2852" s="4" t="e">
        <f>VLOOKUP(H2852,Stock_list!A:Y,25,FALSE)</f>
        <v>#N/A</v>
      </c>
      <c r="Q2852" s="143"/>
      <c r="T2852" s="144"/>
      <c r="U2852" s="145" t="e">
        <f>VLOOKUP(H2852,Stock_list!A:N,14,FALSE)</f>
        <v>#N/A</v>
      </c>
    </row>
    <row r="2853" spans="1:21" ht="16.5" customHeight="1">
      <c r="A2853" s="159" t="s">
        <v>261</v>
      </c>
      <c r="B2853" s="114" t="str">
        <f>VLOOKUP(A2853,'Data pick slip'!B:F,5,FALSE)</f>
        <v>KHJ-MC100-00</v>
      </c>
      <c r="F2853" s="157" t="s">
        <v>227</v>
      </c>
      <c r="H2853" s="138">
        <v>1254</v>
      </c>
      <c r="I2853" s="139" t="e">
        <f>VLOOKUP(H2853,Stock_list!A:R,18,FALSE)</f>
        <v>#N/A</v>
      </c>
      <c r="J2853" s="139" t="e">
        <f>VLOOKUP(H2853,Stock_list!A:S,17,FALSE)</f>
        <v>#N/A</v>
      </c>
      <c r="K2853" s="51" t="e">
        <f>VLOOKUP(H2853,Stock_list!A:T,16,FALSE)</f>
        <v>#N/A</v>
      </c>
      <c r="L2853" s="4">
        <v>44285</v>
      </c>
      <c r="M2853" s="132">
        <v>3</v>
      </c>
      <c r="P2853" s="4" t="e">
        <f>VLOOKUP(H2853,Stock_list!A:Y,25,FALSE)</f>
        <v>#N/A</v>
      </c>
      <c r="Q2853" s="143"/>
      <c r="T2853" s="144"/>
      <c r="U2853" s="145" t="e">
        <f>VLOOKUP(H2853,Stock_list!A:N,14,FALSE)</f>
        <v>#N/A</v>
      </c>
    </row>
    <row r="2854" spans="1:21" ht="16.5" customHeight="1">
      <c r="A2854" s="159" t="s">
        <v>261</v>
      </c>
      <c r="B2854" s="114" t="str">
        <f>VLOOKUP(A2854,'Data pick slip'!B:F,5,FALSE)</f>
        <v>KHJ-MC100-00</v>
      </c>
      <c r="F2854" s="157" t="s">
        <v>227</v>
      </c>
      <c r="H2854" s="138">
        <v>1255</v>
      </c>
      <c r="I2854" s="139" t="e">
        <f>VLOOKUP(H2854,Stock_list!A:R,18,FALSE)</f>
        <v>#N/A</v>
      </c>
      <c r="J2854" s="139" t="e">
        <f>VLOOKUP(H2854,Stock_list!A:S,17,FALSE)</f>
        <v>#N/A</v>
      </c>
      <c r="K2854" s="51" t="e">
        <f>VLOOKUP(H2854,Stock_list!A:T,16,FALSE)</f>
        <v>#N/A</v>
      </c>
      <c r="L2854" s="4">
        <v>44300</v>
      </c>
      <c r="M2854" s="132">
        <v>32</v>
      </c>
      <c r="P2854" s="4" t="e">
        <f>VLOOKUP(H2854,Stock_list!A:Y,25,FALSE)</f>
        <v>#N/A</v>
      </c>
      <c r="Q2854" s="143"/>
      <c r="T2854" s="144"/>
      <c r="U2854" s="145" t="e">
        <f>VLOOKUP(H2854,Stock_list!A:N,14,FALSE)</f>
        <v>#N/A</v>
      </c>
    </row>
    <row r="2855" spans="1:21" ht="16.5" customHeight="1">
      <c r="A2855" s="159" t="s">
        <v>264</v>
      </c>
      <c r="B2855" s="114" t="str">
        <f>VLOOKUP(A2855,'Data pick slip'!B:F,5,FALSE)</f>
        <v>KHJ-MC200-00</v>
      </c>
      <c r="F2855" s="157" t="s">
        <v>270</v>
      </c>
      <c r="I2855" s="139" t="s">
        <v>611</v>
      </c>
      <c r="J2855" s="270" t="s">
        <v>942</v>
      </c>
      <c r="K2855" s="51" t="s">
        <v>225</v>
      </c>
      <c r="L2855" s="4">
        <v>44260</v>
      </c>
      <c r="M2855" s="132">
        <v>5</v>
      </c>
      <c r="P2855" s="4" t="s">
        <v>214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261</v>
      </c>
      <c r="B2856" s="114" t="str">
        <f>VLOOKUP(A2856,'Data pick slip'!B:F,5,FALSE)</f>
        <v>KHJ-MC100-00</v>
      </c>
      <c r="F2856" s="157" t="s">
        <v>227</v>
      </c>
      <c r="I2856" s="139" t="s">
        <v>533</v>
      </c>
      <c r="J2856" s="139" t="s">
        <v>470</v>
      </c>
      <c r="K2856" s="51" t="s">
        <v>225</v>
      </c>
      <c r="L2856" s="4">
        <v>44189</v>
      </c>
      <c r="M2856" s="132">
        <v>100</v>
      </c>
      <c r="P2856" s="4" t="s">
        <v>214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264</v>
      </c>
      <c r="B2857" s="114" t="str">
        <f>VLOOKUP(A2857,'Data pick slip'!B:F,5,FALSE)</f>
        <v>KHJ-MC200-00</v>
      </c>
      <c r="F2857" s="157" t="s">
        <v>227</v>
      </c>
      <c r="I2857" s="139" t="s">
        <v>533</v>
      </c>
      <c r="J2857" s="139" t="s">
        <v>470</v>
      </c>
      <c r="K2857" s="51" t="s">
        <v>225</v>
      </c>
      <c r="L2857" s="4">
        <v>44189</v>
      </c>
      <c r="M2857" s="132">
        <v>60</v>
      </c>
      <c r="P2857" s="4" t="s">
        <v>214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265</v>
      </c>
      <c r="B2858" s="114" t="str">
        <f>VLOOKUP(A2858,'Data pick slip'!B:F,5,FALSE)</f>
        <v>KHJ-MC400-00</v>
      </c>
      <c r="F2858" s="157" t="s">
        <v>227</v>
      </c>
      <c r="I2858" s="139" t="s">
        <v>533</v>
      </c>
      <c r="J2858" s="139" t="s">
        <v>470</v>
      </c>
      <c r="K2858" s="51" t="s">
        <v>225</v>
      </c>
      <c r="L2858" s="4">
        <v>44189</v>
      </c>
      <c r="M2858" s="132">
        <v>4</v>
      </c>
      <c r="P2858" s="4" t="s">
        <v>214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266</v>
      </c>
      <c r="B2859" s="114" t="str">
        <f>VLOOKUP(A2859,'Data pick slip'!B:F,5,FALSE)</f>
        <v>KHJ-MC500-00</v>
      </c>
      <c r="F2859" s="157" t="s">
        <v>227</v>
      </c>
      <c r="I2859" s="139" t="s">
        <v>533</v>
      </c>
      <c r="J2859" s="139" t="s">
        <v>470</v>
      </c>
      <c r="K2859" s="51" t="s">
        <v>225</v>
      </c>
      <c r="L2859" s="4">
        <v>44189</v>
      </c>
      <c r="M2859" s="132">
        <v>1</v>
      </c>
      <c r="P2859" s="4" t="s">
        <v>214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261</v>
      </c>
      <c r="B2860" s="114" t="str">
        <f>VLOOKUP(A2860,'Data pick slip'!B:F,5,FALSE)</f>
        <v>KHJ-MC100-00</v>
      </c>
      <c r="F2860" s="157" t="s">
        <v>227</v>
      </c>
      <c r="H2860" s="138">
        <v>1264</v>
      </c>
      <c r="I2860" s="139" t="e">
        <f>VLOOKUP(H2860,Stock_list!A:R,18,FALSE)</f>
        <v>#N/A</v>
      </c>
      <c r="J2860" s="139" t="e">
        <f>VLOOKUP(H2860,Stock_list!A:S,17,FALSE)</f>
        <v>#N/A</v>
      </c>
      <c r="K2860" s="51" t="e">
        <f>VLOOKUP(H2860,Stock_list!A:T,16,FALSE)</f>
        <v>#N/A</v>
      </c>
      <c r="L2860" s="4">
        <v>44382</v>
      </c>
      <c r="M2860" s="132">
        <v>25</v>
      </c>
      <c r="P2860" s="4" t="e">
        <f>VLOOKUP(H2860,Stock_list!A:Y,25,FALSE)</f>
        <v>#N/A</v>
      </c>
      <c r="Q2860" s="143"/>
      <c r="T2860" s="144"/>
      <c r="U2860" s="145" t="e">
        <f>VLOOKUP(H2860,Stock_list!A:N,14,FALSE)</f>
        <v>#N/A</v>
      </c>
    </row>
    <row r="2861" spans="1:21" ht="16.5" customHeight="1">
      <c r="A2861" s="159" t="s">
        <v>264</v>
      </c>
      <c r="B2861" s="114" t="str">
        <f>VLOOKUP(A2861,'Data pick slip'!B:F,5,FALSE)</f>
        <v>KHJ-MC200-00</v>
      </c>
      <c r="F2861" s="157" t="s">
        <v>227</v>
      </c>
      <c r="H2861" s="138">
        <v>1264</v>
      </c>
      <c r="I2861" s="139" t="e">
        <f>VLOOKUP(H2861,Stock_list!A:R,18,FALSE)</f>
        <v>#N/A</v>
      </c>
      <c r="J2861" s="139" t="e">
        <f>VLOOKUP(H2861,Stock_list!A:S,17,FALSE)</f>
        <v>#N/A</v>
      </c>
      <c r="K2861" s="51" t="e">
        <f>VLOOKUP(H2861,Stock_list!A:T,16,FALSE)</f>
        <v>#N/A</v>
      </c>
      <c r="L2861" s="4">
        <v>44382</v>
      </c>
      <c r="M2861" s="132">
        <v>2</v>
      </c>
      <c r="P2861" s="4" t="e">
        <f>VLOOKUP(H2861,Stock_list!A:Y,25,FALSE)</f>
        <v>#N/A</v>
      </c>
      <c r="Q2861" s="143"/>
      <c r="T2861" s="144"/>
      <c r="U2861" s="145" t="e">
        <f>VLOOKUP(H2861,Stock_list!A:N,14,FALSE)</f>
        <v>#N/A</v>
      </c>
    </row>
    <row r="2862" spans="1:21" ht="16.5" customHeight="1">
      <c r="A2862" s="159" t="s">
        <v>261</v>
      </c>
      <c r="B2862" s="114" t="str">
        <f>VLOOKUP(A2862,'Data pick slip'!B:F,5,FALSE)</f>
        <v>KHJ-MC100-00</v>
      </c>
      <c r="F2862" s="157" t="s">
        <v>227</v>
      </c>
      <c r="H2862" s="138">
        <v>1265</v>
      </c>
      <c r="I2862" s="139" t="e">
        <f>VLOOKUP(H2862,Stock_list!A:R,18,FALSE)</f>
        <v>#N/A</v>
      </c>
      <c r="J2862" s="139" t="e">
        <f>VLOOKUP(H2862,Stock_list!A:S,17,FALSE)</f>
        <v>#N/A</v>
      </c>
      <c r="K2862" s="51" t="e">
        <f>VLOOKUP(H2862,Stock_list!A:T,16,FALSE)</f>
        <v>#N/A</v>
      </c>
      <c r="L2862" s="4">
        <v>44377</v>
      </c>
      <c r="M2862" s="132">
        <v>40</v>
      </c>
      <c r="P2862" s="4" t="e">
        <f>VLOOKUP(H2862,Stock_list!A:Y,25,FALSE)</f>
        <v>#N/A</v>
      </c>
      <c r="Q2862" s="143"/>
      <c r="T2862" s="144"/>
      <c r="U2862" s="145" t="e">
        <f>VLOOKUP(H2862,Stock_list!A:N,14,FALSE)</f>
        <v>#N/A</v>
      </c>
    </row>
    <row r="2863" spans="1:21" ht="16.5" customHeight="1">
      <c r="A2863" s="159" t="s">
        <v>264</v>
      </c>
      <c r="B2863" s="114" t="str">
        <f>VLOOKUP(A2863,'Data pick slip'!B:F,5,FALSE)</f>
        <v>KHJ-MC200-00</v>
      </c>
      <c r="F2863" s="157" t="s">
        <v>227</v>
      </c>
      <c r="H2863" s="138">
        <v>1265</v>
      </c>
      <c r="I2863" s="139" t="e">
        <f>VLOOKUP(H2863,Stock_list!A:R,18,FALSE)</f>
        <v>#N/A</v>
      </c>
      <c r="J2863" s="139" t="e">
        <f>VLOOKUP(H2863,Stock_list!A:S,17,FALSE)</f>
        <v>#N/A</v>
      </c>
      <c r="K2863" s="51" t="e">
        <f>VLOOKUP(H2863,Stock_list!A:T,16,FALSE)</f>
        <v>#N/A</v>
      </c>
      <c r="L2863" s="4">
        <v>44377</v>
      </c>
      <c r="M2863" s="132">
        <v>8</v>
      </c>
      <c r="P2863" s="4" t="e">
        <f>VLOOKUP(H2863,Stock_list!A:Y,25,FALSE)</f>
        <v>#N/A</v>
      </c>
      <c r="Q2863" s="143"/>
      <c r="T2863" s="144"/>
      <c r="U2863" s="145" t="e">
        <f>VLOOKUP(H2863,Stock_list!A:N,14,FALSE)</f>
        <v>#N/A</v>
      </c>
    </row>
    <row r="2864" spans="1:21" ht="16.5" customHeight="1">
      <c r="A2864" s="159" t="s">
        <v>265</v>
      </c>
      <c r="B2864" s="114" t="str">
        <f>VLOOKUP(A2864,'Data pick slip'!B:F,5,FALSE)</f>
        <v>KHJ-MC400-00</v>
      </c>
      <c r="F2864" s="157" t="s">
        <v>227</v>
      </c>
      <c r="H2864" s="138">
        <v>1265</v>
      </c>
      <c r="I2864" s="139" t="e">
        <f>VLOOKUP(H2864,Stock_list!A:R,18,FALSE)</f>
        <v>#N/A</v>
      </c>
      <c r="J2864" s="139" t="e">
        <f>VLOOKUP(H2864,Stock_list!A:S,17,FALSE)</f>
        <v>#N/A</v>
      </c>
      <c r="K2864" s="51" t="e">
        <f>VLOOKUP(H2864,Stock_list!A:T,16,FALSE)</f>
        <v>#N/A</v>
      </c>
      <c r="L2864" s="4">
        <v>44377</v>
      </c>
      <c r="M2864" s="132">
        <v>4</v>
      </c>
      <c r="P2864" s="4" t="e">
        <f>VLOOKUP(H2864,Stock_list!A:Y,25,FALSE)</f>
        <v>#N/A</v>
      </c>
      <c r="Q2864" s="143"/>
      <c r="T2864" s="144"/>
      <c r="U2864" s="145" t="e">
        <f>VLOOKUP(H2864,Stock_list!A:N,14,FALSE)</f>
        <v>#N/A</v>
      </c>
    </row>
    <row r="2865" spans="1:21" ht="16.5" customHeight="1">
      <c r="A2865" s="159" t="s">
        <v>266</v>
      </c>
      <c r="B2865" s="114" t="str">
        <f>VLOOKUP(A2865,'Data pick slip'!B:F,5,FALSE)</f>
        <v>KHJ-MC500-00</v>
      </c>
      <c r="F2865" s="157" t="s">
        <v>227</v>
      </c>
      <c r="H2865" s="138">
        <v>1265</v>
      </c>
      <c r="I2865" s="139" t="e">
        <f>VLOOKUP(H2865,Stock_list!A:R,18,FALSE)</f>
        <v>#N/A</v>
      </c>
      <c r="J2865" s="139" t="e">
        <f>VLOOKUP(H2865,Stock_list!A:S,17,FALSE)</f>
        <v>#N/A</v>
      </c>
      <c r="K2865" s="51" t="e">
        <f>VLOOKUP(H2865,Stock_list!A:T,16,FALSE)</f>
        <v>#N/A</v>
      </c>
      <c r="L2865" s="4">
        <v>44377</v>
      </c>
      <c r="M2865" s="132">
        <v>2</v>
      </c>
      <c r="P2865" s="4" t="e">
        <f>VLOOKUP(H2865,Stock_list!A:Y,25,FALSE)</f>
        <v>#N/A</v>
      </c>
      <c r="Q2865" s="143"/>
      <c r="T2865" s="144"/>
      <c r="U2865" s="145" t="e">
        <f>VLOOKUP(H2865,Stock_list!A:N,14,FALSE)</f>
        <v>#N/A</v>
      </c>
    </row>
    <row r="2866" spans="1:21" ht="16.5" customHeight="1">
      <c r="A2866" s="159" t="s">
        <v>261</v>
      </c>
      <c r="B2866" s="114" t="str">
        <f>VLOOKUP(A2866,'Data pick slip'!B:F,5,FALSE)</f>
        <v>KHJ-MC100-00</v>
      </c>
      <c r="F2866" s="157" t="s">
        <v>227</v>
      </c>
      <c r="H2866" s="138">
        <v>1269</v>
      </c>
      <c r="I2866" s="139" t="e">
        <f>VLOOKUP(H2866,Stock_list!A:R,18,FALSE)</f>
        <v>#N/A</v>
      </c>
      <c r="J2866" s="139" t="e">
        <f>VLOOKUP(H2866,Stock_list!A:S,17,FALSE)</f>
        <v>#N/A</v>
      </c>
      <c r="K2866" s="51" t="e">
        <f>VLOOKUP(H2866,Stock_list!A:T,16,FALSE)</f>
        <v>#N/A</v>
      </c>
      <c r="L2866" s="4">
        <v>44370</v>
      </c>
      <c r="M2866" s="132">
        <v>2</v>
      </c>
      <c r="P2866" s="4" t="e">
        <f>VLOOKUP(H2866,Stock_list!A:Y,25,FALSE)</f>
        <v>#N/A</v>
      </c>
      <c r="Q2866" s="143"/>
      <c r="T2866" s="144"/>
      <c r="U2866" s="145" t="e">
        <f>VLOOKUP(H2866,Stock_list!A:N,14,FALSE)</f>
        <v>#N/A</v>
      </c>
    </row>
    <row r="2867" spans="1:21" ht="16.5" customHeight="1">
      <c r="A2867" s="159" t="s">
        <v>261</v>
      </c>
      <c r="B2867" s="114" t="str">
        <f>VLOOKUP(A2867,'Data pick slip'!B:F,5,FALSE)</f>
        <v>KHJ-MC100-00</v>
      </c>
      <c r="F2867" s="157" t="s">
        <v>227</v>
      </c>
      <c r="H2867" s="138">
        <v>1277</v>
      </c>
      <c r="I2867" s="139" t="e">
        <f>VLOOKUP(H2867,Stock_list!A:R,18,FALSE)</f>
        <v>#N/A</v>
      </c>
      <c r="J2867" s="139" t="e">
        <f>VLOOKUP(H2867,Stock_list!A:S,17,FALSE)</f>
        <v>#N/A</v>
      </c>
      <c r="K2867" s="51" t="e">
        <f>VLOOKUP(H2867,Stock_list!A:T,16,FALSE)</f>
        <v>#N/A</v>
      </c>
      <c r="L2867" s="4">
        <v>44339</v>
      </c>
      <c r="M2867" s="132">
        <v>20</v>
      </c>
      <c r="P2867" s="4" t="e">
        <f>VLOOKUP(H2867,Stock_list!A:Y,25,FALSE)</f>
        <v>#N/A</v>
      </c>
      <c r="Q2867" s="143"/>
      <c r="T2867" s="144"/>
      <c r="U2867" s="145" t="e">
        <f>VLOOKUP(H2867,Stock_list!A:N,14,FALSE)</f>
        <v>#N/A</v>
      </c>
    </row>
    <row r="2868" spans="1:21" ht="16.5" customHeight="1">
      <c r="A2868" s="159" t="s">
        <v>264</v>
      </c>
      <c r="B2868" s="114" t="str">
        <f>VLOOKUP(A2868,'Data pick slip'!B:F,5,FALSE)</f>
        <v>KHJ-MC200-00</v>
      </c>
      <c r="F2868" s="157" t="s">
        <v>227</v>
      </c>
      <c r="H2868" s="138">
        <v>1277</v>
      </c>
      <c r="I2868" s="139" t="e">
        <f>VLOOKUP(H2868,Stock_list!A:R,18,FALSE)</f>
        <v>#N/A</v>
      </c>
      <c r="J2868" s="139" t="e">
        <f>VLOOKUP(H2868,Stock_list!A:S,17,FALSE)</f>
        <v>#N/A</v>
      </c>
      <c r="K2868" s="51" t="e">
        <f>VLOOKUP(H2868,Stock_list!A:T,16,FALSE)</f>
        <v>#N/A</v>
      </c>
      <c r="L2868" s="4">
        <v>44339</v>
      </c>
      <c r="M2868" s="132">
        <v>10</v>
      </c>
      <c r="P2868" s="4" t="e">
        <f>VLOOKUP(H2868,Stock_list!A:Y,25,FALSE)</f>
        <v>#N/A</v>
      </c>
      <c r="Q2868" s="143"/>
      <c r="T2868" s="144"/>
      <c r="U2868" s="145" t="e">
        <f>VLOOKUP(H2868,Stock_list!A:N,14,FALSE)</f>
        <v>#N/A</v>
      </c>
    </row>
    <row r="2869" spans="1:21" ht="16.5" customHeight="1">
      <c r="A2869" s="159" t="s">
        <v>261</v>
      </c>
      <c r="B2869" s="114" t="str">
        <f>VLOOKUP(A2869,'Data pick slip'!B:F,5,FALSE)</f>
        <v>KHJ-MC100-00</v>
      </c>
      <c r="F2869" s="157" t="s">
        <v>270</v>
      </c>
      <c r="H2869" s="138">
        <v>1278</v>
      </c>
      <c r="I2869" s="139" t="e">
        <f>VLOOKUP(H2869,Stock_list!A:R,18,FALSE)</f>
        <v>#N/A</v>
      </c>
      <c r="J2869" s="139" t="e">
        <f>VLOOKUP(H2869,Stock_list!A:S,17,FALSE)</f>
        <v>#N/A</v>
      </c>
      <c r="K2869" s="51" t="e">
        <f>VLOOKUP(H2869,Stock_list!A:T,16,FALSE)</f>
        <v>#N/A</v>
      </c>
      <c r="L2869" s="4">
        <v>44350</v>
      </c>
      <c r="M2869" s="288">
        <v>40</v>
      </c>
      <c r="P2869" s="4" t="e">
        <f>VLOOKUP(H2869,Stock_list!A:Y,25,FALSE)</f>
        <v>#N/A</v>
      </c>
      <c r="Q2869" s="143"/>
      <c r="T2869" s="144"/>
      <c r="U2869" s="145" t="e">
        <f>VLOOKUP(H2869,Stock_list!A:N,14,FALSE)</f>
        <v>#N/A</v>
      </c>
    </row>
    <row r="2870" spans="1:21" ht="16.5" customHeight="1">
      <c r="A2870" s="159" t="s">
        <v>265</v>
      </c>
      <c r="B2870" s="114" t="str">
        <f>VLOOKUP(A2870,'Data pick slip'!B:F,5,FALSE)</f>
        <v>KHJ-MC400-00</v>
      </c>
      <c r="F2870" s="157" t="s">
        <v>270</v>
      </c>
      <c r="H2870" s="138">
        <v>1278</v>
      </c>
      <c r="I2870" s="139" t="e">
        <f>VLOOKUP(H2870,Stock_list!A:R,18,FALSE)</f>
        <v>#N/A</v>
      </c>
      <c r="J2870" s="139" t="e">
        <f>VLOOKUP(H2870,Stock_list!A:S,17,FALSE)</f>
        <v>#N/A</v>
      </c>
      <c r="K2870" s="51" t="e">
        <f>VLOOKUP(H2870,Stock_list!A:T,16,FALSE)</f>
        <v>#N/A</v>
      </c>
      <c r="L2870" s="4">
        <v>44350</v>
      </c>
      <c r="M2870" s="288">
        <v>1</v>
      </c>
      <c r="P2870" s="4" t="e">
        <f>VLOOKUP(H2870,Stock_list!A:Y,25,FALSE)</f>
        <v>#N/A</v>
      </c>
      <c r="Q2870" s="143"/>
      <c r="T2870" s="144"/>
      <c r="U2870" s="145" t="e">
        <f>VLOOKUP(H2870,Stock_list!A:N,14,FALSE)</f>
        <v>#N/A</v>
      </c>
    </row>
    <row r="2871" spans="1:21" ht="16.5" customHeight="1">
      <c r="A2871" s="159" t="s">
        <v>266</v>
      </c>
      <c r="B2871" s="114" t="str">
        <f>VLOOKUP(A2871,'Data pick slip'!B:F,5,FALSE)</f>
        <v>KHJ-MC500-00</v>
      </c>
      <c r="F2871" s="157" t="s">
        <v>270</v>
      </c>
      <c r="H2871" s="138">
        <v>1278</v>
      </c>
      <c r="I2871" s="139" t="e">
        <f>VLOOKUP(H2871,Stock_list!A:R,18,FALSE)</f>
        <v>#N/A</v>
      </c>
      <c r="J2871" s="139" t="e">
        <f>VLOOKUP(H2871,Stock_list!A:S,17,FALSE)</f>
        <v>#N/A</v>
      </c>
      <c r="K2871" s="51" t="e">
        <f>VLOOKUP(H2871,Stock_list!A:T,16,FALSE)</f>
        <v>#N/A</v>
      </c>
      <c r="L2871" s="4">
        <v>44350</v>
      </c>
      <c r="M2871" s="288">
        <v>1</v>
      </c>
      <c r="P2871" s="4" t="e">
        <f>VLOOKUP(H2871,Stock_list!A:Y,25,FALSE)</f>
        <v>#N/A</v>
      </c>
      <c r="Q2871" s="143"/>
      <c r="T2871" s="144"/>
      <c r="U2871" s="145" t="e">
        <f>VLOOKUP(H2871,Stock_list!A:N,14,FALSE)</f>
        <v>#N/A</v>
      </c>
    </row>
    <row r="2872" spans="1:21" ht="16.5" customHeight="1">
      <c r="A2872" s="159" t="s">
        <v>268</v>
      </c>
      <c r="B2872" s="114" t="str">
        <f>VLOOKUP(A2872,'Data pick slip'!B:F,5,FALSE)</f>
        <v>KHJ-MC700-00</v>
      </c>
      <c r="F2872" s="157" t="s">
        <v>270</v>
      </c>
      <c r="H2872" s="138">
        <v>1278</v>
      </c>
      <c r="I2872" s="139" t="e">
        <f>VLOOKUP(H2872,Stock_list!A:R,18,FALSE)</f>
        <v>#N/A</v>
      </c>
      <c r="J2872" s="139" t="e">
        <f>VLOOKUP(H2872,Stock_list!A:S,17,FALSE)</f>
        <v>#N/A</v>
      </c>
      <c r="K2872" s="51" t="e">
        <f>VLOOKUP(H2872,Stock_list!A:T,16,FALSE)</f>
        <v>#N/A</v>
      </c>
      <c r="L2872" s="4">
        <v>44350</v>
      </c>
      <c r="M2872" s="288">
        <v>1</v>
      </c>
      <c r="P2872" s="4" t="e">
        <f>VLOOKUP(H2872,Stock_list!A:Y,25,FALSE)</f>
        <v>#N/A</v>
      </c>
      <c r="Q2872" s="143"/>
      <c r="T2872" s="144"/>
      <c r="U2872" s="145" t="e">
        <f>VLOOKUP(H2872,Stock_list!A:N,14,FALSE)</f>
        <v>#N/A</v>
      </c>
    </row>
    <row r="2873" spans="1:21" ht="16.5" customHeight="1">
      <c r="A2873" s="159" t="s">
        <v>261</v>
      </c>
      <c r="B2873" s="114" t="str">
        <f>VLOOKUP(A2873,'Data pick slip'!B:F,5,FALSE)</f>
        <v>KHJ-MC100-00</v>
      </c>
      <c r="F2873" s="157" t="s">
        <v>227</v>
      </c>
      <c r="H2873" s="138">
        <v>1287</v>
      </c>
      <c r="I2873" s="139" t="e">
        <f>VLOOKUP(H2873,Stock_list!A:R,18,FALSE)</f>
        <v>#N/A</v>
      </c>
      <c r="J2873" s="139" t="e">
        <f>VLOOKUP(H2873,Stock_list!A:S,17,FALSE)</f>
        <v>#N/A</v>
      </c>
      <c r="K2873" s="51" t="e">
        <f>VLOOKUP(H2873,Stock_list!A:T,16,FALSE)</f>
        <v>#N/A</v>
      </c>
      <c r="L2873" s="4">
        <v>44341</v>
      </c>
      <c r="M2873" s="132">
        <v>30</v>
      </c>
      <c r="P2873" s="4" t="e">
        <f>VLOOKUP(H2873,Stock_list!A:Y,25,FALSE)</f>
        <v>#N/A</v>
      </c>
      <c r="Q2873" s="143"/>
      <c r="T2873" s="144"/>
      <c r="U2873" s="145" t="e">
        <f>VLOOKUP(H2873,Stock_list!A:N,14,FALSE)</f>
        <v>#N/A</v>
      </c>
    </row>
    <row r="2874" spans="1:21" ht="16.5" customHeight="1">
      <c r="A2874" s="159" t="s">
        <v>264</v>
      </c>
      <c r="B2874" s="114" t="str">
        <f>VLOOKUP(A2874,'Data pick slip'!B:F,5,FALSE)</f>
        <v>KHJ-MC200-00</v>
      </c>
      <c r="F2874" s="157" t="s">
        <v>227</v>
      </c>
      <c r="H2874" s="138">
        <v>1287</v>
      </c>
      <c r="I2874" s="139" t="e">
        <f>VLOOKUP(H2874,Stock_list!A:R,18,FALSE)</f>
        <v>#N/A</v>
      </c>
      <c r="J2874" s="139" t="e">
        <f>VLOOKUP(H2874,Stock_list!A:S,17,FALSE)</f>
        <v>#N/A</v>
      </c>
      <c r="K2874" s="51" t="e">
        <f>VLOOKUP(H2874,Stock_list!A:T,16,FALSE)</f>
        <v>#N/A</v>
      </c>
      <c r="L2874" s="4">
        <v>44341</v>
      </c>
      <c r="M2874" s="132">
        <v>10</v>
      </c>
      <c r="P2874" s="4" t="e">
        <f>VLOOKUP(H2874,Stock_list!A:Y,25,FALSE)</f>
        <v>#N/A</v>
      </c>
      <c r="Q2874" s="143"/>
      <c r="T2874" s="144"/>
      <c r="U2874" s="145" t="e">
        <f>VLOOKUP(H2874,Stock_list!A:N,14,FALSE)</f>
        <v>#N/A</v>
      </c>
    </row>
    <row r="2875" spans="1:21" ht="16.5" customHeight="1">
      <c r="A2875" s="159" t="s">
        <v>265</v>
      </c>
      <c r="B2875" s="114" t="str">
        <f>VLOOKUP(A2875,'Data pick slip'!B:F,5,FALSE)</f>
        <v>KHJ-MC400-00</v>
      </c>
      <c r="F2875" s="157" t="s">
        <v>227</v>
      </c>
      <c r="H2875" s="138">
        <v>1287</v>
      </c>
      <c r="I2875" s="139" t="e">
        <f>VLOOKUP(H2875,Stock_list!A:R,18,FALSE)</f>
        <v>#N/A</v>
      </c>
      <c r="J2875" s="139" t="e">
        <f>VLOOKUP(H2875,Stock_list!A:S,17,FALSE)</f>
        <v>#N/A</v>
      </c>
      <c r="K2875" s="51" t="e">
        <f>VLOOKUP(H2875,Stock_list!A:T,16,FALSE)</f>
        <v>#N/A</v>
      </c>
      <c r="L2875" s="4">
        <v>44341</v>
      </c>
      <c r="M2875" s="132">
        <v>1</v>
      </c>
      <c r="P2875" s="4" t="e">
        <f>VLOOKUP(H2875,Stock_list!A:Y,25,FALSE)</f>
        <v>#N/A</v>
      </c>
      <c r="Q2875" s="143"/>
      <c r="T2875" s="144"/>
      <c r="U2875" s="145" t="e">
        <f>VLOOKUP(H2875,Stock_list!A:N,14,FALSE)</f>
        <v>#N/A</v>
      </c>
    </row>
    <row r="2876" spans="1:21" ht="16.5" customHeight="1">
      <c r="A2876" s="159" t="s">
        <v>261</v>
      </c>
      <c r="B2876" s="114" t="str">
        <f>VLOOKUP(A2876,'Data pick slip'!B:F,5,FALSE)</f>
        <v>KHJ-MC100-00</v>
      </c>
      <c r="F2876" s="157" t="s">
        <v>227</v>
      </c>
      <c r="H2876" s="138">
        <v>1288</v>
      </c>
      <c r="I2876" s="139" t="e">
        <f>VLOOKUP(H2876,Stock_list!A:R,18,FALSE)</f>
        <v>#N/A</v>
      </c>
      <c r="J2876" s="139" t="e">
        <f>VLOOKUP(H2876,Stock_list!A:S,17,FALSE)</f>
        <v>#N/A</v>
      </c>
      <c r="K2876" s="51" t="e">
        <f>VLOOKUP(H2876,Stock_list!A:T,16,FALSE)</f>
        <v>#N/A</v>
      </c>
      <c r="L2876" s="4">
        <v>44673</v>
      </c>
      <c r="M2876" s="140">
        <v>60</v>
      </c>
      <c r="P2876" s="4" t="e">
        <f>VLOOKUP(H2876,Stock_list!A:Y,25,FALSE)</f>
        <v>#N/A</v>
      </c>
      <c r="Q2876" s="143"/>
      <c r="T2876" s="144"/>
      <c r="U2876" s="145" t="e">
        <f>VLOOKUP(H2876,Stock_list!A:N,14,FALSE)</f>
        <v>#N/A</v>
      </c>
    </row>
    <row r="2877" spans="1:21" ht="16.5" customHeight="1">
      <c r="A2877" s="159" t="s">
        <v>264</v>
      </c>
      <c r="B2877" s="114" t="str">
        <f>VLOOKUP(A2877,'Data pick slip'!B:F,5,FALSE)</f>
        <v>KHJ-MC200-00</v>
      </c>
      <c r="F2877" s="157" t="s">
        <v>227</v>
      </c>
      <c r="H2877" s="138">
        <v>1288</v>
      </c>
      <c r="I2877" s="139" t="e">
        <f>VLOOKUP(H2877,Stock_list!A:R,18,FALSE)</f>
        <v>#N/A</v>
      </c>
      <c r="J2877" s="139" t="e">
        <f>VLOOKUP(H2877,Stock_list!A:S,17,FALSE)</f>
        <v>#N/A</v>
      </c>
      <c r="K2877" s="51" t="e">
        <f>VLOOKUP(H2877,Stock_list!A:T,16,FALSE)</f>
        <v>#N/A</v>
      </c>
      <c r="L2877" s="4">
        <v>44673</v>
      </c>
      <c r="M2877" s="140">
        <v>20</v>
      </c>
      <c r="P2877" s="4" t="e">
        <f>VLOOKUP(H2877,Stock_list!A:Y,25,FALSE)</f>
        <v>#N/A</v>
      </c>
      <c r="Q2877" s="143"/>
      <c r="T2877" s="144"/>
      <c r="U2877" s="145" t="e">
        <f>VLOOKUP(H2877,Stock_list!A:N,14,FALSE)</f>
        <v>#N/A</v>
      </c>
    </row>
    <row r="2878" spans="1:21" ht="16.5" customHeight="1">
      <c r="A2878" s="159" t="s">
        <v>264</v>
      </c>
      <c r="B2878" s="114" t="str">
        <f>VLOOKUP(A2878,'Data pick slip'!B:F,5,FALSE)</f>
        <v>KHJ-MC200-00</v>
      </c>
      <c r="F2878" s="157" t="s">
        <v>227</v>
      </c>
      <c r="H2878" s="138">
        <v>1288</v>
      </c>
      <c r="I2878" s="139" t="e">
        <f>VLOOKUP(H2878,Stock_list!A:R,18,FALSE)</f>
        <v>#N/A</v>
      </c>
      <c r="J2878" s="139" t="e">
        <f>VLOOKUP(H2878,Stock_list!A:S,17,FALSE)</f>
        <v>#N/A</v>
      </c>
      <c r="K2878" s="51" t="e">
        <f>VLOOKUP(H2878,Stock_list!A:T,16,FALSE)</f>
        <v>#N/A</v>
      </c>
      <c r="L2878" s="291">
        <v>44676</v>
      </c>
      <c r="M2878" s="140">
        <v>5</v>
      </c>
      <c r="P2878" s="4" t="e">
        <f>VLOOKUP(H2878,Stock_list!A:Y,25,FALSE)</f>
        <v>#N/A</v>
      </c>
      <c r="Q2878" s="143"/>
      <c r="T2878" s="144"/>
      <c r="U2878" s="145" t="e">
        <f>VLOOKUP(H2878,Stock_list!A:N,14,FALSE)</f>
        <v>#N/A</v>
      </c>
    </row>
    <row r="2879" spans="1:21" ht="16.5" customHeight="1">
      <c r="A2879" s="159" t="s">
        <v>265</v>
      </c>
      <c r="B2879" s="114" t="str">
        <f>VLOOKUP(A2879,'Data pick slip'!B:F,5,FALSE)</f>
        <v>KHJ-MC400-00</v>
      </c>
      <c r="F2879" s="157" t="s">
        <v>227</v>
      </c>
      <c r="H2879" s="138">
        <v>1288</v>
      </c>
      <c r="I2879" s="139" t="e">
        <f>VLOOKUP(H2879,Stock_list!A:R,18,FALSE)</f>
        <v>#N/A</v>
      </c>
      <c r="J2879" s="139" t="e">
        <f>VLOOKUP(H2879,Stock_list!A:S,17,FALSE)</f>
        <v>#N/A</v>
      </c>
      <c r="K2879" s="51" t="e">
        <f>VLOOKUP(H2879,Stock_list!A:T,16,FALSE)</f>
        <v>#N/A</v>
      </c>
      <c r="L2879" s="4">
        <v>44673</v>
      </c>
      <c r="M2879" s="140">
        <v>15</v>
      </c>
      <c r="P2879" s="4" t="e">
        <f>VLOOKUP(H2879,Stock_list!A:Y,25,FALSE)</f>
        <v>#N/A</v>
      </c>
      <c r="Q2879" s="143"/>
      <c r="T2879" s="144"/>
      <c r="U2879" s="145" t="e">
        <f>VLOOKUP(H2879,Stock_list!A:N,14,FALSE)</f>
        <v>#N/A</v>
      </c>
    </row>
    <row r="2880" spans="1:21" ht="16.5" customHeight="1">
      <c r="A2880" s="159" t="s">
        <v>266</v>
      </c>
      <c r="B2880" s="114" t="str">
        <f>VLOOKUP(A2880,'Data pick slip'!B:F,5,FALSE)</f>
        <v>KHJ-MC500-00</v>
      </c>
      <c r="F2880" s="157" t="s">
        <v>227</v>
      </c>
      <c r="H2880" s="138">
        <v>1288</v>
      </c>
      <c r="I2880" s="139" t="e">
        <f>VLOOKUP(H2880,Stock_list!A:R,18,FALSE)</f>
        <v>#N/A</v>
      </c>
      <c r="J2880" s="139" t="e">
        <f>VLOOKUP(H2880,Stock_list!A:S,17,FALSE)</f>
        <v>#N/A</v>
      </c>
      <c r="K2880" s="51" t="e">
        <f>VLOOKUP(H2880,Stock_list!A:T,16,FALSE)</f>
        <v>#N/A</v>
      </c>
      <c r="L2880" s="4">
        <v>44673</v>
      </c>
      <c r="M2880" s="140">
        <v>4</v>
      </c>
      <c r="P2880" s="4" t="e">
        <f>VLOOKUP(H2880,Stock_list!A:Y,25,FALSE)</f>
        <v>#N/A</v>
      </c>
      <c r="Q2880" s="143"/>
      <c r="T2880" s="144"/>
      <c r="U2880" s="145" t="e">
        <f>VLOOKUP(H2880,Stock_list!A:N,14,FALSE)</f>
        <v>#N/A</v>
      </c>
    </row>
    <row r="2881" spans="1:21" ht="16.5" customHeight="1">
      <c r="A2881" s="159" t="s">
        <v>267</v>
      </c>
      <c r="B2881" s="114" t="str">
        <f>VLOOKUP(A2881,'Data pick slip'!B:F,5,FALSE)</f>
        <v>KHJ-MC600-00</v>
      </c>
      <c r="F2881" s="157" t="s">
        <v>227</v>
      </c>
      <c r="H2881" s="138">
        <v>1288</v>
      </c>
      <c r="I2881" s="139" t="e">
        <f>VLOOKUP(H2881,Stock_list!A:R,18,FALSE)</f>
        <v>#N/A</v>
      </c>
      <c r="J2881" s="139" t="e">
        <f>VLOOKUP(H2881,Stock_list!A:S,17,FALSE)</f>
        <v>#N/A</v>
      </c>
      <c r="K2881" s="51" t="e">
        <f>VLOOKUP(H2881,Stock_list!A:T,16,FALSE)</f>
        <v>#N/A</v>
      </c>
      <c r="L2881" s="4">
        <v>44673</v>
      </c>
      <c r="M2881" s="140">
        <v>2</v>
      </c>
      <c r="P2881" s="4" t="e">
        <f>VLOOKUP(H2881,Stock_list!A:Y,25,FALSE)</f>
        <v>#N/A</v>
      </c>
      <c r="Q2881" s="143"/>
      <c r="T2881" s="144"/>
      <c r="U2881" s="145" t="e">
        <f>VLOOKUP(H2881,Stock_list!A:N,14,FALSE)</f>
        <v>#N/A</v>
      </c>
    </row>
    <row r="2882" spans="1:21" ht="16.5" customHeight="1">
      <c r="A2882" s="159" t="s">
        <v>261</v>
      </c>
      <c r="B2882" s="114" t="str">
        <f>VLOOKUP(A2882,'Data pick slip'!B:F,5,FALSE)</f>
        <v>KHJ-MC100-00</v>
      </c>
      <c r="F2882" s="157" t="s">
        <v>227</v>
      </c>
      <c r="H2882" s="138">
        <v>1292</v>
      </c>
      <c r="I2882" s="139" t="e">
        <f>VLOOKUP(H2882,Stock_list!A:R,18,FALSE)</f>
        <v>#N/A</v>
      </c>
      <c r="J2882" s="139" t="e">
        <f>VLOOKUP(H2882,Stock_list!A:S,17,FALSE)</f>
        <v>#N/A</v>
      </c>
      <c r="K2882" s="51" t="e">
        <f>VLOOKUP(H2882,Stock_list!A:T,16,FALSE)</f>
        <v>#N/A</v>
      </c>
      <c r="L2882" s="4">
        <v>44650</v>
      </c>
      <c r="M2882" s="132">
        <v>30</v>
      </c>
      <c r="P2882" s="4" t="e">
        <f>VLOOKUP(H2882,Stock_list!A:Y,25,FALSE)</f>
        <v>#N/A</v>
      </c>
      <c r="Q2882" s="143"/>
      <c r="T2882" s="144"/>
      <c r="U2882" s="145" t="e">
        <f>VLOOKUP(H2882,Stock_list!A:N,14,FALSE)</f>
        <v>#N/A</v>
      </c>
    </row>
    <row r="2883" spans="1:21" ht="16.5" customHeight="1">
      <c r="A2883" s="159" t="s">
        <v>261</v>
      </c>
      <c r="B2883" s="114" t="str">
        <f>VLOOKUP(A2883,'Data pick slip'!B:F,5,FALSE)</f>
        <v>KHJ-MC100-00</v>
      </c>
      <c r="F2883" s="157" t="s">
        <v>227</v>
      </c>
      <c r="H2883" s="138">
        <v>1292</v>
      </c>
      <c r="I2883" s="139" t="e">
        <f>VLOOKUP(H2883,Stock_list!A:R,18,FALSE)</f>
        <v>#N/A</v>
      </c>
      <c r="J2883" s="139" t="e">
        <f>VLOOKUP(H2883,Stock_list!A:S,17,FALSE)</f>
        <v>#N/A</v>
      </c>
      <c r="K2883" s="51" t="e">
        <f>VLOOKUP(H2883,Stock_list!A:T,16,FALSE)</f>
        <v>#N/A</v>
      </c>
      <c r="L2883" s="4">
        <v>44571</v>
      </c>
      <c r="M2883" s="132">
        <v>20</v>
      </c>
      <c r="P2883" s="4" t="e">
        <f>VLOOKUP(H2883,Stock_list!A:Y,25,FALSE)</f>
        <v>#N/A</v>
      </c>
      <c r="Q2883" s="143"/>
      <c r="T2883" s="144"/>
      <c r="U2883" s="145" t="e">
        <f>VLOOKUP(H2883,Stock_list!A:N,14,FALSE)</f>
        <v>#N/A</v>
      </c>
    </row>
    <row r="2884" spans="1:21" ht="16.5" customHeight="1">
      <c r="A2884" s="159" t="s">
        <v>264</v>
      </c>
      <c r="B2884" s="114" t="str">
        <f>VLOOKUP(A2884,'Data pick slip'!B:F,5,FALSE)</f>
        <v>KHJ-MC200-00</v>
      </c>
      <c r="F2884" s="157" t="s">
        <v>227</v>
      </c>
      <c r="H2884" s="138">
        <v>1292</v>
      </c>
      <c r="I2884" s="139" t="e">
        <f>VLOOKUP(H2884,Stock_list!A:R,18,FALSE)</f>
        <v>#N/A</v>
      </c>
      <c r="J2884" s="139" t="e">
        <f>VLOOKUP(H2884,Stock_list!A:S,17,FALSE)</f>
        <v>#N/A</v>
      </c>
      <c r="K2884" s="51" t="e">
        <f>VLOOKUP(H2884,Stock_list!A:T,16,FALSE)</f>
        <v>#N/A</v>
      </c>
      <c r="L2884" s="4">
        <v>44571</v>
      </c>
      <c r="M2884" s="132">
        <v>10</v>
      </c>
      <c r="P2884" s="4" t="e">
        <f>VLOOKUP(H2884,Stock_list!A:Y,25,FALSE)</f>
        <v>#N/A</v>
      </c>
      <c r="Q2884" s="143"/>
      <c r="T2884" s="144"/>
      <c r="U2884" s="145" t="e">
        <f>VLOOKUP(H2884,Stock_list!A:N,14,FALSE)</f>
        <v>#N/A</v>
      </c>
    </row>
    <row r="2885" spans="1:21" ht="16.5" customHeight="1">
      <c r="A2885" s="159" t="s">
        <v>261</v>
      </c>
      <c r="B2885" s="114" t="str">
        <f>VLOOKUP(A2885,'Data pick slip'!B:F,5,FALSE)</f>
        <v>KHJ-MC100-00</v>
      </c>
      <c r="F2885" s="157" t="s">
        <v>227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264</v>
      </c>
      <c r="B2886" s="114" t="str">
        <f>VLOOKUP(A2886,'Data pick slip'!B:F,5,FALSE)</f>
        <v>KHJ-MC200-00</v>
      </c>
      <c r="F2886" s="157" t="s">
        <v>227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261</v>
      </c>
      <c r="B2887" s="114" t="str">
        <f>VLOOKUP(A2887,'Data pick slip'!B:F,5,FALSE)</f>
        <v>KHJ-MC100-00</v>
      </c>
      <c r="F2887" s="157" t="s">
        <v>279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264</v>
      </c>
      <c r="B2888" s="114" t="str">
        <f>VLOOKUP(A2888,'Data pick slip'!B:F,5,FALSE)</f>
        <v>KHJ-MC200-00</v>
      </c>
      <c r="F2888" s="157" t="s">
        <v>279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261</v>
      </c>
      <c r="B2889" s="114" t="str">
        <f>VLOOKUP(A2889,'Data pick slip'!B:F,5,FALSE)</f>
        <v>KHJ-MC100-00</v>
      </c>
      <c r="F2889" s="157" t="s">
        <v>227</v>
      </c>
      <c r="H2889" s="138">
        <v>1296</v>
      </c>
      <c r="I2889" s="139" t="e">
        <f>VLOOKUP(H2889,Stock_list!A:R,18,FALSE)</f>
        <v>#N/A</v>
      </c>
      <c r="J2889" s="139" t="e">
        <f>VLOOKUP(H2889,Stock_list!A:S,17,FALSE)</f>
        <v>#N/A</v>
      </c>
      <c r="K2889" s="51" t="e">
        <f>VLOOKUP(H2889,Stock_list!A:T,16,FALSE)</f>
        <v>#N/A</v>
      </c>
      <c r="L2889" s="4">
        <v>44347</v>
      </c>
      <c r="M2889" s="132">
        <v>50</v>
      </c>
      <c r="P2889" s="4" t="e">
        <f>VLOOKUP(H2889,Stock_list!A:Y,25,FALSE)</f>
        <v>#N/A</v>
      </c>
      <c r="Q2889" s="143"/>
      <c r="T2889" s="144"/>
      <c r="U2889" s="145" t="e">
        <f>VLOOKUP(H2889,Stock_list!A:N,14,FALSE)</f>
        <v>#N/A</v>
      </c>
    </row>
    <row r="2890" spans="1:21" ht="16.5" customHeight="1">
      <c r="A2890" s="159" t="s">
        <v>264</v>
      </c>
      <c r="B2890" s="114" t="str">
        <f>VLOOKUP(A2890,'Data pick slip'!B:F,5,FALSE)</f>
        <v>KHJ-MC200-00</v>
      </c>
      <c r="F2890" s="157" t="s">
        <v>227</v>
      </c>
      <c r="H2890" s="138">
        <v>1296</v>
      </c>
      <c r="I2890" s="139" t="e">
        <f>VLOOKUP(H2890,Stock_list!A:R,18,FALSE)</f>
        <v>#N/A</v>
      </c>
      <c r="J2890" s="139" t="e">
        <f>VLOOKUP(H2890,Stock_list!A:S,17,FALSE)</f>
        <v>#N/A</v>
      </c>
      <c r="K2890" s="51" t="e">
        <f>VLOOKUP(H2890,Stock_list!A:T,16,FALSE)</f>
        <v>#N/A</v>
      </c>
      <c r="L2890" s="4">
        <v>44347</v>
      </c>
      <c r="M2890" s="132">
        <v>13</v>
      </c>
      <c r="P2890" s="4" t="e">
        <f>VLOOKUP(H2890,Stock_list!A:Y,25,FALSE)</f>
        <v>#N/A</v>
      </c>
      <c r="Q2890" s="143"/>
      <c r="T2890" s="144"/>
      <c r="U2890" s="145" t="e">
        <f>VLOOKUP(H2890,Stock_list!A:N,14,FALSE)</f>
        <v>#N/A</v>
      </c>
    </row>
    <row r="2891" spans="1:21" ht="16.5" customHeight="1">
      <c r="A2891" s="159" t="s">
        <v>265</v>
      </c>
      <c r="B2891" s="114" t="str">
        <f>VLOOKUP(A2891,'Data pick slip'!B:F,5,FALSE)</f>
        <v>KHJ-MC400-00</v>
      </c>
      <c r="F2891" s="157" t="s">
        <v>227</v>
      </c>
      <c r="H2891" s="138">
        <v>1296</v>
      </c>
      <c r="I2891" s="139" t="e">
        <f>VLOOKUP(H2891,Stock_list!A:R,18,FALSE)</f>
        <v>#N/A</v>
      </c>
      <c r="J2891" s="139" t="e">
        <f>VLOOKUP(H2891,Stock_list!A:S,17,FALSE)</f>
        <v>#N/A</v>
      </c>
      <c r="K2891" s="51" t="e">
        <f>VLOOKUP(H2891,Stock_list!A:T,16,FALSE)</f>
        <v>#N/A</v>
      </c>
      <c r="L2891" s="4">
        <v>44347</v>
      </c>
      <c r="M2891" s="132">
        <v>3</v>
      </c>
      <c r="P2891" s="4" t="e">
        <f>VLOOKUP(H2891,Stock_list!A:Y,25,FALSE)</f>
        <v>#N/A</v>
      </c>
      <c r="Q2891" s="143"/>
      <c r="T2891" s="144"/>
      <c r="U2891" s="145" t="e">
        <f>VLOOKUP(H2891,Stock_list!A:N,14,FALSE)</f>
        <v>#N/A</v>
      </c>
    </row>
    <row r="2892" spans="1:21" ht="16.5" customHeight="1">
      <c r="A2892" s="159" t="s">
        <v>261</v>
      </c>
      <c r="B2892" s="114" t="str">
        <f>VLOOKUP(A2892,'Data pick slip'!B:F,5,FALSE)</f>
        <v>KHJ-MC100-00</v>
      </c>
      <c r="F2892" s="157" t="s">
        <v>270</v>
      </c>
      <c r="H2892" s="138">
        <v>1299</v>
      </c>
      <c r="I2892" s="139" t="e">
        <f>VLOOKUP(H2892,Stock_list!A:R,18,FALSE)</f>
        <v>#N/A</v>
      </c>
      <c r="J2892" s="139" t="e">
        <f>VLOOKUP(H2892,Stock_list!A:S,17,FALSE)</f>
        <v>#N/A</v>
      </c>
      <c r="K2892" s="51" t="e">
        <f>VLOOKUP(H2892,Stock_list!A:T,16,FALSE)</f>
        <v>#N/A</v>
      </c>
      <c r="L2892" s="4">
        <v>44315</v>
      </c>
      <c r="M2892" s="132">
        <v>20</v>
      </c>
      <c r="P2892" s="4" t="e">
        <f>VLOOKUP(H2892,Stock_list!A:Y,25,FALSE)</f>
        <v>#N/A</v>
      </c>
      <c r="Q2892" s="143"/>
      <c r="T2892" s="144"/>
      <c r="U2892" s="145" t="e">
        <f>VLOOKUP(H2892,Stock_list!A:N,14,FALSE)</f>
        <v>#N/A</v>
      </c>
    </row>
    <row r="2893" spans="1:21" ht="16.5" customHeight="1">
      <c r="A2893" s="159" t="s">
        <v>261</v>
      </c>
      <c r="B2893" s="114" t="str">
        <f>VLOOKUP(A2893,'Data pick slip'!B:F,5,FALSE)</f>
        <v>KHJ-MC100-00</v>
      </c>
      <c r="F2893" s="157" t="s">
        <v>227</v>
      </c>
      <c r="H2893" s="138">
        <v>1301</v>
      </c>
      <c r="I2893" s="139" t="e">
        <f>VLOOKUP(H2893,Stock_list!A:R,18,FALSE)</f>
        <v>#N/A</v>
      </c>
      <c r="J2893" s="139" t="e">
        <f>VLOOKUP(H2893,Stock_list!A:S,17,FALSE)</f>
        <v>#N/A</v>
      </c>
      <c r="K2893" s="51" t="e">
        <f>VLOOKUP(H2893,Stock_list!A:T,16,FALSE)</f>
        <v>#N/A</v>
      </c>
      <c r="L2893" s="4">
        <v>44697</v>
      </c>
      <c r="M2893" s="132">
        <v>40</v>
      </c>
      <c r="P2893" s="4" t="e">
        <f>VLOOKUP(H2893,Stock_list!A:Y,25,FALSE)</f>
        <v>#N/A</v>
      </c>
      <c r="Q2893" s="143"/>
      <c r="T2893" s="144"/>
      <c r="U2893" s="145" t="e">
        <f>VLOOKUP(H2893,Stock_list!A:N,14,FALSE)</f>
        <v>#N/A</v>
      </c>
    </row>
    <row r="2894" spans="1:21" ht="16.5" customHeight="1">
      <c r="A2894" s="159" t="s">
        <v>272</v>
      </c>
      <c r="B2894" s="114" t="str">
        <f>VLOOKUP(A2894,'Data pick slip'!B:F,5,FALSE)</f>
        <v>KLJ-MC100-00</v>
      </c>
      <c r="F2894" s="157" t="s">
        <v>227</v>
      </c>
      <c r="H2894" s="138">
        <v>1303</v>
      </c>
      <c r="I2894" s="139" t="e">
        <f>VLOOKUP(H2894,Stock_list!A:R,18,FALSE)</f>
        <v>#N/A</v>
      </c>
      <c r="J2894" s="139" t="e">
        <f>VLOOKUP(H2894,Stock_list!A:S,17,FALSE)</f>
        <v>#N/A</v>
      </c>
      <c r="K2894" s="51" t="e">
        <f>VLOOKUP(H2894,Stock_list!A:T,16,FALSE)</f>
        <v>#N/A</v>
      </c>
      <c r="L2894" s="4">
        <v>44427</v>
      </c>
      <c r="M2894" s="132">
        <v>320</v>
      </c>
      <c r="P2894" s="4" t="e">
        <f>VLOOKUP(H2894,Stock_list!A:Y,25,FALSE)</f>
        <v>#N/A</v>
      </c>
      <c r="Q2894" s="143"/>
      <c r="T2894" s="144"/>
      <c r="U2894" s="145" t="e">
        <f>VLOOKUP(H2894,Stock_list!A:N,14,FALSE)</f>
        <v>#N/A</v>
      </c>
    </row>
    <row r="2895" spans="1:21" ht="16.5" customHeight="1">
      <c r="A2895" s="159" t="s">
        <v>273</v>
      </c>
      <c r="B2895" s="114" t="str">
        <f>VLOOKUP(A2895,'Data pick slip'!B:F,5,FALSE)</f>
        <v>KLJ-MC200-00</v>
      </c>
      <c r="F2895" s="157" t="s">
        <v>227</v>
      </c>
      <c r="H2895" s="138">
        <v>1303</v>
      </c>
      <c r="I2895" s="139" t="e">
        <f>VLOOKUP(H2895,Stock_list!A:R,18,FALSE)</f>
        <v>#N/A</v>
      </c>
      <c r="J2895" s="139" t="e">
        <f>VLOOKUP(H2895,Stock_list!A:S,17,FALSE)</f>
        <v>#N/A</v>
      </c>
      <c r="K2895" s="51" t="e">
        <f>VLOOKUP(H2895,Stock_list!A:T,16,FALSE)</f>
        <v>#N/A</v>
      </c>
      <c r="L2895" s="4">
        <v>44427</v>
      </c>
      <c r="M2895" s="132">
        <v>80</v>
      </c>
      <c r="P2895" s="4" t="e">
        <f>VLOOKUP(H2895,Stock_list!A:Y,25,FALSE)</f>
        <v>#N/A</v>
      </c>
      <c r="Q2895" s="143"/>
      <c r="T2895" s="144"/>
      <c r="U2895" s="145" t="e">
        <f>VLOOKUP(H2895,Stock_list!A:N,14,FALSE)</f>
        <v>#N/A</v>
      </c>
    </row>
    <row r="2896" spans="1:21" ht="16.5" customHeight="1">
      <c r="A2896" s="159" t="s">
        <v>272</v>
      </c>
      <c r="B2896" s="114" t="str">
        <f>VLOOKUP(A2896,'Data pick slip'!B:F,5,FALSE)</f>
        <v>KLJ-MC100-00</v>
      </c>
      <c r="F2896" s="157" t="s">
        <v>227</v>
      </c>
      <c r="H2896" s="138">
        <v>1303</v>
      </c>
      <c r="I2896" s="139" t="e">
        <f>VLOOKUP(H2896,Stock_list!A:R,18,FALSE)</f>
        <v>#N/A</v>
      </c>
      <c r="J2896" s="139" t="e">
        <f>VLOOKUP(H2896,Stock_list!A:S,17,FALSE)</f>
        <v>#N/A</v>
      </c>
      <c r="K2896" s="51" t="e">
        <f>VLOOKUP(H2896,Stock_list!A:T,16,FALSE)</f>
        <v>#N/A</v>
      </c>
      <c r="L2896" s="4">
        <v>44399</v>
      </c>
      <c r="M2896" s="132">
        <v>390</v>
      </c>
      <c r="P2896" s="4" t="e">
        <f>VLOOKUP(H2896,Stock_list!A:Y,25,FALSE)</f>
        <v>#N/A</v>
      </c>
      <c r="Q2896" s="143"/>
      <c r="T2896" s="144"/>
      <c r="U2896" s="145" t="e">
        <f>VLOOKUP(H2896,Stock_list!A:N,14,FALSE)</f>
        <v>#N/A</v>
      </c>
    </row>
    <row r="2897" spans="1:21" ht="16.5" customHeight="1">
      <c r="A2897" s="159" t="s">
        <v>273</v>
      </c>
      <c r="B2897" s="114" t="str">
        <f>VLOOKUP(A2897,'Data pick slip'!B:F,5,FALSE)</f>
        <v>KLJ-MC200-00</v>
      </c>
      <c r="F2897" s="157" t="s">
        <v>227</v>
      </c>
      <c r="H2897" s="138">
        <v>1303</v>
      </c>
      <c r="I2897" s="139" t="e">
        <f>VLOOKUP(H2897,Stock_list!A:R,18,FALSE)</f>
        <v>#N/A</v>
      </c>
      <c r="J2897" s="139" t="e">
        <f>VLOOKUP(H2897,Stock_list!A:S,17,FALSE)</f>
        <v>#N/A</v>
      </c>
      <c r="K2897" s="51" t="e">
        <f>VLOOKUP(H2897,Stock_list!A:T,16,FALSE)</f>
        <v>#N/A</v>
      </c>
      <c r="L2897" s="4">
        <v>44399</v>
      </c>
      <c r="M2897" s="132">
        <v>80</v>
      </c>
      <c r="P2897" s="4" t="e">
        <f>VLOOKUP(H2897,Stock_list!A:Y,25,FALSE)</f>
        <v>#N/A</v>
      </c>
      <c r="Q2897" s="143"/>
      <c r="T2897" s="144"/>
      <c r="U2897" s="145" t="e">
        <f>VLOOKUP(H2897,Stock_list!A:N,14,FALSE)</f>
        <v>#N/A</v>
      </c>
    </row>
    <row r="2898" spans="1:21" ht="16.5" customHeight="1">
      <c r="A2898" s="159" t="s">
        <v>272</v>
      </c>
      <c r="B2898" s="114" t="str">
        <f>VLOOKUP(A2898,'Data pick slip'!B:F,5,FALSE)</f>
        <v>KLJ-MC100-00</v>
      </c>
      <c r="F2898" s="157" t="s">
        <v>227</v>
      </c>
      <c r="H2898" s="138">
        <v>1303</v>
      </c>
      <c r="I2898" s="139" t="e">
        <f>VLOOKUP(H2898,Stock_list!A:R,18,FALSE)</f>
        <v>#N/A</v>
      </c>
      <c r="J2898" s="139" t="e">
        <f>VLOOKUP(H2898,Stock_list!A:S,17,FALSE)</f>
        <v>#N/A</v>
      </c>
      <c r="K2898" s="51" t="e">
        <f>VLOOKUP(H2898,Stock_list!A:T,16,FALSE)</f>
        <v>#N/A</v>
      </c>
      <c r="L2898" s="4">
        <v>44368</v>
      </c>
      <c r="M2898" s="132">
        <v>60</v>
      </c>
      <c r="P2898" s="4" t="e">
        <f>VLOOKUP(H2898,Stock_list!A:Y,25,FALSE)</f>
        <v>#N/A</v>
      </c>
      <c r="Q2898" s="143"/>
      <c r="T2898" s="144"/>
      <c r="U2898" s="145" t="e">
        <f>VLOOKUP(H2898,Stock_list!A:N,14,FALSE)</f>
        <v>#N/A</v>
      </c>
    </row>
    <row r="2899" spans="1:21" ht="16.5" customHeight="1">
      <c r="A2899" s="159" t="s">
        <v>273</v>
      </c>
      <c r="B2899" s="114" t="str">
        <f>VLOOKUP(A2899,'Data pick slip'!B:F,5,FALSE)</f>
        <v>KLJ-MC200-00</v>
      </c>
      <c r="F2899" s="157" t="s">
        <v>227</v>
      </c>
      <c r="H2899" s="138">
        <v>1303</v>
      </c>
      <c r="I2899" s="139" t="e">
        <f>VLOOKUP(H2899,Stock_list!A:R,18,FALSE)</f>
        <v>#N/A</v>
      </c>
      <c r="J2899" s="139" t="e">
        <f>VLOOKUP(H2899,Stock_list!A:S,17,FALSE)</f>
        <v>#N/A</v>
      </c>
      <c r="K2899" s="51" t="e">
        <f>VLOOKUP(H2899,Stock_list!A:T,16,FALSE)</f>
        <v>#N/A</v>
      </c>
      <c r="L2899" s="4">
        <v>44368</v>
      </c>
      <c r="M2899" s="132">
        <v>20</v>
      </c>
      <c r="P2899" s="4" t="e">
        <f>VLOOKUP(H2899,Stock_list!A:Y,25,FALSE)</f>
        <v>#N/A</v>
      </c>
      <c r="Q2899" s="143"/>
      <c r="T2899" s="144"/>
      <c r="U2899" s="145" t="e">
        <f>VLOOKUP(H2899,Stock_list!A:N,14,FALSE)</f>
        <v>#N/A</v>
      </c>
    </row>
    <row r="2900" spans="1:21" ht="16.5" customHeight="1">
      <c r="A2900" s="159" t="s">
        <v>274</v>
      </c>
      <c r="B2900" s="114" t="str">
        <f>VLOOKUP(A2900,'Data pick slip'!B:F,5,FALSE)</f>
        <v>KLJ-MC400-00</v>
      </c>
      <c r="F2900" s="157" t="s">
        <v>227</v>
      </c>
      <c r="H2900" s="138">
        <v>1303</v>
      </c>
      <c r="I2900" s="139" t="e">
        <f>VLOOKUP(H2900,Stock_list!A:R,18,FALSE)</f>
        <v>#N/A</v>
      </c>
      <c r="J2900" s="139" t="e">
        <f>VLOOKUP(H2900,Stock_list!A:S,17,FALSE)</f>
        <v>#N/A</v>
      </c>
      <c r="K2900" s="51" t="e">
        <f>VLOOKUP(H2900,Stock_list!A:T,16,FALSE)</f>
        <v>#N/A</v>
      </c>
      <c r="L2900" s="4">
        <v>44368</v>
      </c>
      <c r="M2900" s="132">
        <v>16</v>
      </c>
      <c r="P2900" s="4" t="e">
        <f>VLOOKUP(H2900,Stock_list!A:Y,25,FALSE)</f>
        <v>#N/A</v>
      </c>
      <c r="Q2900" s="143"/>
      <c r="T2900" s="144"/>
      <c r="U2900" s="145" t="e">
        <f>VLOOKUP(H2900,Stock_list!A:N,14,FALSE)</f>
        <v>#N/A</v>
      </c>
    </row>
    <row r="2901" spans="1:21" ht="16.5" customHeight="1">
      <c r="A2901" s="159" t="s">
        <v>275</v>
      </c>
      <c r="B2901" s="114" t="str">
        <f>VLOOKUP(A2901,'Data pick slip'!B:F,5,FALSE)</f>
        <v>KLJ-MC500-00</v>
      </c>
      <c r="F2901" s="157" t="s">
        <v>227</v>
      </c>
      <c r="H2901" s="138">
        <v>1303</v>
      </c>
      <c r="I2901" s="139" t="e">
        <f>VLOOKUP(H2901,Stock_list!A:R,18,FALSE)</f>
        <v>#N/A</v>
      </c>
      <c r="J2901" s="139" t="e">
        <f>VLOOKUP(H2901,Stock_list!A:S,17,FALSE)</f>
        <v>#N/A</v>
      </c>
      <c r="K2901" s="51" t="e">
        <f>VLOOKUP(H2901,Stock_list!A:T,16,FALSE)</f>
        <v>#N/A</v>
      </c>
      <c r="L2901" s="4">
        <v>44368</v>
      </c>
      <c r="M2901" s="132">
        <v>4</v>
      </c>
      <c r="P2901" s="4" t="e">
        <f>VLOOKUP(H2901,Stock_list!A:Y,25,FALSE)</f>
        <v>#N/A</v>
      </c>
      <c r="Q2901" s="143"/>
      <c r="T2901" s="144"/>
      <c r="U2901" s="145" t="e">
        <f>VLOOKUP(H2901,Stock_list!A:N,14,FALSE)</f>
        <v>#N/A</v>
      </c>
    </row>
    <row r="2902" spans="1:21" ht="16.5" customHeight="1">
      <c r="A2902" s="159" t="s">
        <v>276</v>
      </c>
      <c r="B2902" s="114" t="str">
        <f>VLOOKUP(A2902,'Data pick slip'!B:F,5,FALSE)</f>
        <v>KLJ-MC600-00</v>
      </c>
      <c r="F2902" s="157" t="s">
        <v>227</v>
      </c>
      <c r="H2902" s="138">
        <v>1303</v>
      </c>
      <c r="I2902" s="139" t="e">
        <f>VLOOKUP(H2902,Stock_list!A:R,18,FALSE)</f>
        <v>#N/A</v>
      </c>
      <c r="J2902" s="139" t="e">
        <f>VLOOKUP(H2902,Stock_list!A:S,17,FALSE)</f>
        <v>#N/A</v>
      </c>
      <c r="K2902" s="51" t="e">
        <f>VLOOKUP(H2902,Stock_list!A:T,16,FALSE)</f>
        <v>#N/A</v>
      </c>
      <c r="L2902" s="4">
        <v>44368</v>
      </c>
      <c r="M2902" s="132">
        <v>4</v>
      </c>
      <c r="P2902" s="4" t="e">
        <f>VLOOKUP(H2902,Stock_list!A:Y,25,FALSE)</f>
        <v>#N/A</v>
      </c>
      <c r="Q2902" s="143"/>
      <c r="T2902" s="144"/>
      <c r="U2902" s="145" t="e">
        <f>VLOOKUP(H2902,Stock_list!A:N,14,FALSE)</f>
        <v>#N/A</v>
      </c>
    </row>
    <row r="2903" spans="1:21" ht="16.5" customHeight="1">
      <c r="A2903" s="159" t="s">
        <v>272</v>
      </c>
      <c r="B2903" s="114" t="str">
        <f>VLOOKUP(A2903,'Data pick slip'!B:F,5,FALSE)</f>
        <v>KLJ-MC100-00</v>
      </c>
      <c r="F2903" s="157" t="s">
        <v>270</v>
      </c>
      <c r="H2903" s="138">
        <v>1303</v>
      </c>
      <c r="I2903" s="139" t="e">
        <f>VLOOKUP(H2903,Stock_list!A:R,18,FALSE)</f>
        <v>#N/A</v>
      </c>
      <c r="J2903" s="139" t="e">
        <f>VLOOKUP(H2903,Stock_list!A:S,17,FALSE)</f>
        <v>#N/A</v>
      </c>
      <c r="K2903" s="51" t="e">
        <f>VLOOKUP(H2903,Stock_list!A:T,16,FALSE)</f>
        <v>#N/A</v>
      </c>
      <c r="L2903" s="4">
        <v>44368</v>
      </c>
      <c r="M2903" s="132"/>
      <c r="O2903" s="132">
        <f>60-60</f>
        <v>0</v>
      </c>
      <c r="P2903" s="4" t="e">
        <f>VLOOKUP(H2903,Stock_list!A:Y,25,FALSE)</f>
        <v>#N/A</v>
      </c>
      <c r="Q2903" s="143"/>
      <c r="T2903" s="144"/>
      <c r="U2903" s="145" t="e">
        <f>VLOOKUP(H2903,Stock_list!A:N,14,FALSE)</f>
        <v>#N/A</v>
      </c>
    </row>
    <row r="2904" spans="1:21" ht="16.5" customHeight="1">
      <c r="A2904" s="159" t="s">
        <v>273</v>
      </c>
      <c r="B2904" s="114" t="str">
        <f>VLOOKUP(A2904,'Data pick slip'!B:F,5,FALSE)</f>
        <v>KLJ-MC200-00</v>
      </c>
      <c r="F2904" s="157" t="s">
        <v>270</v>
      </c>
      <c r="H2904" s="138">
        <v>1303</v>
      </c>
      <c r="I2904" s="139" t="e">
        <f>VLOOKUP(H2904,Stock_list!A:R,18,FALSE)</f>
        <v>#N/A</v>
      </c>
      <c r="J2904" s="139" t="e">
        <f>VLOOKUP(H2904,Stock_list!A:S,17,FALSE)</f>
        <v>#N/A</v>
      </c>
      <c r="K2904" s="51" t="e">
        <f>VLOOKUP(H2904,Stock_list!A:T,16,FALSE)</f>
        <v>#N/A</v>
      </c>
      <c r="L2904" s="4">
        <v>44368</v>
      </c>
      <c r="M2904" s="132"/>
      <c r="O2904" s="132">
        <f>20-20</f>
        <v>0</v>
      </c>
      <c r="P2904" s="4" t="e">
        <f>VLOOKUP(H2904,Stock_list!A:Y,25,FALSE)</f>
        <v>#N/A</v>
      </c>
      <c r="Q2904" s="143"/>
      <c r="T2904" s="144"/>
      <c r="U2904" s="145" t="e">
        <f>VLOOKUP(H2904,Stock_list!A:N,14,FALSE)</f>
        <v>#N/A</v>
      </c>
    </row>
    <row r="2905" spans="1:21" ht="16.5" customHeight="1">
      <c r="A2905" s="159" t="s">
        <v>274</v>
      </c>
      <c r="B2905" s="114" t="str">
        <f>VLOOKUP(A2905,'Data pick slip'!B:F,5,FALSE)</f>
        <v>KLJ-MC400-00</v>
      </c>
      <c r="F2905" s="157" t="s">
        <v>270</v>
      </c>
      <c r="H2905" s="138">
        <v>1303</v>
      </c>
      <c r="I2905" s="139" t="e">
        <f>VLOOKUP(H2905,Stock_list!A:R,18,FALSE)</f>
        <v>#N/A</v>
      </c>
      <c r="J2905" s="139" t="e">
        <f>VLOOKUP(H2905,Stock_list!A:S,17,FALSE)</f>
        <v>#N/A</v>
      </c>
      <c r="K2905" s="51" t="e">
        <f>VLOOKUP(H2905,Stock_list!A:T,16,FALSE)</f>
        <v>#N/A</v>
      </c>
      <c r="L2905" s="4">
        <v>44368</v>
      </c>
      <c r="M2905" s="132"/>
      <c r="O2905" s="132">
        <f>16-16</f>
        <v>0</v>
      </c>
      <c r="P2905" s="4" t="e">
        <f>VLOOKUP(H2905,Stock_list!A:Y,25,FALSE)</f>
        <v>#N/A</v>
      </c>
      <c r="Q2905" s="143"/>
      <c r="T2905" s="144"/>
      <c r="U2905" s="145" t="e">
        <f>VLOOKUP(H2905,Stock_list!A:N,14,FALSE)</f>
        <v>#N/A</v>
      </c>
    </row>
    <row r="2906" spans="1:21" ht="16.5" customHeight="1">
      <c r="A2906" s="159" t="s">
        <v>275</v>
      </c>
      <c r="B2906" s="114" t="str">
        <f>VLOOKUP(A2906,'Data pick slip'!B:F,5,FALSE)</f>
        <v>KLJ-MC500-00</v>
      </c>
      <c r="F2906" s="157" t="s">
        <v>270</v>
      </c>
      <c r="H2906" s="138">
        <v>1303</v>
      </c>
      <c r="I2906" s="139" t="e">
        <f>VLOOKUP(H2906,Stock_list!A:R,18,FALSE)</f>
        <v>#N/A</v>
      </c>
      <c r="J2906" s="139" t="e">
        <f>VLOOKUP(H2906,Stock_list!A:S,17,FALSE)</f>
        <v>#N/A</v>
      </c>
      <c r="K2906" s="51" t="e">
        <f>VLOOKUP(H2906,Stock_list!A:T,16,FALSE)</f>
        <v>#N/A</v>
      </c>
      <c r="L2906" s="4">
        <v>44368</v>
      </c>
      <c r="M2906" s="132"/>
      <c r="O2906" s="132">
        <f>4-4</f>
        <v>0</v>
      </c>
      <c r="P2906" s="4" t="e">
        <f>VLOOKUP(H2906,Stock_list!A:Y,25,FALSE)</f>
        <v>#N/A</v>
      </c>
      <c r="Q2906" s="143"/>
      <c r="T2906" s="144"/>
      <c r="U2906" s="145" t="e">
        <f>VLOOKUP(H2906,Stock_list!A:N,14,FALSE)</f>
        <v>#N/A</v>
      </c>
    </row>
    <row r="2907" spans="1:21" ht="16.5" customHeight="1">
      <c r="A2907" s="159" t="s">
        <v>276</v>
      </c>
      <c r="B2907" s="114" t="str">
        <f>VLOOKUP(A2907,'Data pick slip'!B:F,5,FALSE)</f>
        <v>KLJ-MC600-00</v>
      </c>
      <c r="F2907" s="157" t="s">
        <v>270</v>
      </c>
      <c r="H2907" s="138">
        <v>1303</v>
      </c>
      <c r="I2907" s="139" t="e">
        <f>VLOOKUP(H2907,Stock_list!A:R,18,FALSE)</f>
        <v>#N/A</v>
      </c>
      <c r="J2907" s="139" t="e">
        <f>VLOOKUP(H2907,Stock_list!A:S,17,FALSE)</f>
        <v>#N/A</v>
      </c>
      <c r="K2907" s="51" t="e">
        <f>VLOOKUP(H2907,Stock_list!A:T,16,FALSE)</f>
        <v>#N/A</v>
      </c>
      <c r="L2907" s="4">
        <v>44368</v>
      </c>
      <c r="M2907" s="132"/>
      <c r="O2907" s="132">
        <f>4-4</f>
        <v>0</v>
      </c>
      <c r="P2907" s="4" t="e">
        <f>VLOOKUP(H2907,Stock_list!A:Y,25,FALSE)</f>
        <v>#N/A</v>
      </c>
      <c r="Q2907" s="143"/>
      <c r="T2907" s="144"/>
      <c r="U2907" s="145" t="e">
        <f>VLOOKUP(H2907,Stock_list!A:N,14,FALSE)</f>
        <v>#N/A</v>
      </c>
    </row>
    <row r="2908" spans="1:21" ht="16.5" customHeight="1">
      <c r="A2908" s="159" t="s">
        <v>261</v>
      </c>
      <c r="B2908" s="114" t="str">
        <f>VLOOKUP(A2908,'Data pick slip'!B:F,5,FALSE)</f>
        <v>KHJ-MC100-00</v>
      </c>
      <c r="F2908" s="157" t="s">
        <v>227</v>
      </c>
      <c r="H2908" s="138">
        <v>1320</v>
      </c>
      <c r="I2908" s="139" t="e">
        <f>VLOOKUP(H2908,Stock_list!A:R,18,FALSE)</f>
        <v>#N/A</v>
      </c>
      <c r="J2908" s="139" t="e">
        <f>VLOOKUP(H2908,Stock_list!A:S,17,FALSE)</f>
        <v>#N/A</v>
      </c>
      <c r="K2908" s="51" t="e">
        <f>VLOOKUP(H2908,Stock_list!A:T,16,FALSE)</f>
        <v>#N/A</v>
      </c>
      <c r="L2908" s="4">
        <v>44644</v>
      </c>
      <c r="M2908" s="132">
        <f>60-30</f>
        <v>30</v>
      </c>
      <c r="P2908" s="4" t="e">
        <f>VLOOKUP(H2908,Stock_list!A:Y,25,FALSE)</f>
        <v>#N/A</v>
      </c>
      <c r="Q2908" s="143"/>
      <c r="T2908" s="144"/>
      <c r="U2908" s="145" t="e">
        <f>VLOOKUP(H2908,Stock_list!A:N,14,FALSE)</f>
        <v>#N/A</v>
      </c>
    </row>
    <row r="2909" spans="1:21" ht="16.5" customHeight="1">
      <c r="A2909" s="159" t="s">
        <v>264</v>
      </c>
      <c r="B2909" s="114" t="str">
        <f>VLOOKUP(A2909,'Data pick slip'!B:F,5,FALSE)</f>
        <v>KHJ-MC200-00</v>
      </c>
      <c r="F2909" s="157" t="s">
        <v>227</v>
      </c>
      <c r="H2909" s="138">
        <v>1320</v>
      </c>
      <c r="I2909" s="139" t="e">
        <f>VLOOKUP(H2909,Stock_list!A:R,18,FALSE)</f>
        <v>#N/A</v>
      </c>
      <c r="J2909" s="139" t="e">
        <f>VLOOKUP(H2909,Stock_list!A:S,17,FALSE)</f>
        <v>#N/A</v>
      </c>
      <c r="K2909" s="51" t="e">
        <f>VLOOKUP(H2909,Stock_list!A:T,16,FALSE)</f>
        <v>#N/A</v>
      </c>
      <c r="L2909" s="4">
        <v>44644</v>
      </c>
      <c r="M2909" s="132">
        <f>15-7</f>
        <v>8</v>
      </c>
      <c r="P2909" s="4" t="e">
        <f>VLOOKUP(H2909,Stock_list!A:Y,25,FALSE)</f>
        <v>#N/A</v>
      </c>
      <c r="Q2909" s="143"/>
      <c r="T2909" s="144"/>
      <c r="U2909" s="145" t="e">
        <f>VLOOKUP(H2909,Stock_list!A:N,14,FALSE)</f>
        <v>#N/A</v>
      </c>
    </row>
    <row r="2910" spans="1:21" ht="16.5" customHeight="1">
      <c r="A2910" s="159" t="s">
        <v>265</v>
      </c>
      <c r="B2910" s="114" t="str">
        <f>VLOOKUP(A2910,'Data pick slip'!B:F,5,FALSE)</f>
        <v>KHJ-MC400-00</v>
      </c>
      <c r="F2910" s="157" t="s">
        <v>227</v>
      </c>
      <c r="H2910" s="138">
        <v>1320</v>
      </c>
      <c r="I2910" s="139" t="e">
        <f>VLOOKUP(H2910,Stock_list!A:R,18,FALSE)</f>
        <v>#N/A</v>
      </c>
      <c r="J2910" s="139" t="e">
        <f>VLOOKUP(H2910,Stock_list!A:S,17,FALSE)</f>
        <v>#N/A</v>
      </c>
      <c r="K2910" s="51" t="e">
        <f>VLOOKUP(H2910,Stock_list!A:T,16,FALSE)</f>
        <v>#N/A</v>
      </c>
      <c r="L2910" s="4">
        <v>44644</v>
      </c>
      <c r="M2910" s="132">
        <f>5-2</f>
        <v>3</v>
      </c>
      <c r="P2910" s="4" t="e">
        <f>VLOOKUP(H2910,Stock_list!A:Y,25,FALSE)</f>
        <v>#N/A</v>
      </c>
      <c r="Q2910" s="143"/>
      <c r="T2910" s="144"/>
      <c r="U2910" s="145" t="e">
        <f>VLOOKUP(H2910,Stock_list!A:N,14,FALSE)</f>
        <v>#N/A</v>
      </c>
    </row>
    <row r="2911" spans="1:21" ht="16.5" customHeight="1">
      <c r="A2911" s="159" t="s">
        <v>266</v>
      </c>
      <c r="B2911" s="114" t="str">
        <f>VLOOKUP(A2911,'Data pick slip'!B:F,5,FALSE)</f>
        <v>KHJ-MC500-00</v>
      </c>
      <c r="F2911" s="157" t="s">
        <v>227</v>
      </c>
      <c r="H2911" s="138">
        <v>1320</v>
      </c>
      <c r="I2911" s="139" t="e">
        <f>VLOOKUP(H2911,Stock_list!A:R,18,FALSE)</f>
        <v>#N/A</v>
      </c>
      <c r="J2911" s="139" t="e">
        <f>VLOOKUP(H2911,Stock_list!A:S,17,FALSE)</f>
        <v>#N/A</v>
      </c>
      <c r="K2911" s="51" t="e">
        <f>VLOOKUP(H2911,Stock_list!A:T,16,FALSE)</f>
        <v>#N/A</v>
      </c>
      <c r="L2911" s="4">
        <v>44644</v>
      </c>
      <c r="M2911" s="132">
        <v>1</v>
      </c>
      <c r="P2911" s="4" t="e">
        <f>VLOOKUP(H2911,Stock_list!A:Y,25,FALSE)</f>
        <v>#N/A</v>
      </c>
      <c r="Q2911" s="143"/>
      <c r="T2911" s="144"/>
      <c r="U2911" s="145" t="e">
        <f>VLOOKUP(H2911,Stock_list!A:N,14,FALSE)</f>
        <v>#N/A</v>
      </c>
    </row>
    <row r="2912" spans="1:21" ht="16.5" customHeight="1">
      <c r="A2912" s="159" t="s">
        <v>261</v>
      </c>
      <c r="B2912" s="114" t="str">
        <f>VLOOKUP(A2912,'Data pick slip'!B:F,5,FALSE)</f>
        <v>KHJ-MC100-00</v>
      </c>
      <c r="F2912" s="157" t="s">
        <v>227</v>
      </c>
      <c r="H2912" s="138">
        <v>1320</v>
      </c>
      <c r="I2912" s="139" t="e">
        <f>VLOOKUP(H2912,Stock_list!A:R,18,FALSE)</f>
        <v>#N/A</v>
      </c>
      <c r="J2912" s="139" t="e">
        <f>VLOOKUP(H2912,Stock_list!A:S,17,FALSE)</f>
        <v>#N/A</v>
      </c>
      <c r="K2912" s="51" t="e">
        <f>VLOOKUP(H2912,Stock_list!A:T,16,FALSE)</f>
        <v>#N/A</v>
      </c>
      <c r="L2912" s="4">
        <v>44490</v>
      </c>
      <c r="M2912" s="132">
        <v>30</v>
      </c>
      <c r="P2912" s="4" t="e">
        <f>VLOOKUP(H2912,Stock_list!A:Y,25,FALSE)</f>
        <v>#N/A</v>
      </c>
      <c r="Q2912" s="143"/>
      <c r="T2912" s="144"/>
      <c r="U2912" s="145" t="e">
        <f>VLOOKUP(H2912,Stock_list!A:N,14,FALSE)</f>
        <v>#N/A</v>
      </c>
    </row>
    <row r="2913" spans="1:21" ht="16.5" customHeight="1">
      <c r="A2913" s="159" t="s">
        <v>264</v>
      </c>
      <c r="B2913" s="114" t="str">
        <f>VLOOKUP(A2913,'Data pick slip'!B:F,5,FALSE)</f>
        <v>KHJ-MC200-00</v>
      </c>
      <c r="F2913" s="157" t="s">
        <v>227</v>
      </c>
      <c r="H2913" s="138">
        <v>1320</v>
      </c>
      <c r="I2913" s="139" t="e">
        <f>VLOOKUP(H2913,Stock_list!A:R,18,FALSE)</f>
        <v>#N/A</v>
      </c>
      <c r="J2913" s="139" t="e">
        <f>VLOOKUP(H2913,Stock_list!A:S,17,FALSE)</f>
        <v>#N/A</v>
      </c>
      <c r="K2913" s="51" t="e">
        <f>VLOOKUP(H2913,Stock_list!A:T,16,FALSE)</f>
        <v>#N/A</v>
      </c>
      <c r="L2913" s="4">
        <v>44490</v>
      </c>
      <c r="M2913" s="132">
        <v>7</v>
      </c>
      <c r="P2913" s="4" t="e">
        <f>VLOOKUP(H2913,Stock_list!A:Y,25,FALSE)</f>
        <v>#N/A</v>
      </c>
      <c r="Q2913" s="143"/>
      <c r="T2913" s="144"/>
      <c r="U2913" s="145" t="e">
        <f>VLOOKUP(H2913,Stock_list!A:N,14,FALSE)</f>
        <v>#N/A</v>
      </c>
    </row>
    <row r="2914" spans="1:21" ht="16.5" customHeight="1">
      <c r="A2914" s="159" t="s">
        <v>265</v>
      </c>
      <c r="B2914" s="114" t="str">
        <f>VLOOKUP(A2914,'Data pick slip'!B:F,5,FALSE)</f>
        <v>KHJ-MC400-00</v>
      </c>
      <c r="F2914" s="157" t="s">
        <v>227</v>
      </c>
      <c r="H2914" s="138">
        <v>1320</v>
      </c>
      <c r="I2914" s="139" t="e">
        <f>VLOOKUP(H2914,Stock_list!A:R,18,FALSE)</f>
        <v>#N/A</v>
      </c>
      <c r="J2914" s="139" t="e">
        <f>VLOOKUP(H2914,Stock_list!A:S,17,FALSE)</f>
        <v>#N/A</v>
      </c>
      <c r="K2914" s="51" t="e">
        <f>VLOOKUP(H2914,Stock_list!A:T,16,FALSE)</f>
        <v>#N/A</v>
      </c>
      <c r="L2914" s="4">
        <v>44490</v>
      </c>
      <c r="M2914" s="132">
        <v>2</v>
      </c>
      <c r="P2914" s="4" t="e">
        <f>VLOOKUP(H2914,Stock_list!A:Y,25,FALSE)</f>
        <v>#N/A</v>
      </c>
      <c r="Q2914" s="143"/>
      <c r="T2914" s="144"/>
      <c r="U2914" s="145" t="e">
        <f>VLOOKUP(H2914,Stock_list!A:N,14,FALSE)</f>
        <v>#N/A</v>
      </c>
    </row>
    <row r="2915" spans="1:21" ht="16.5" customHeight="1">
      <c r="A2915" s="159" t="s">
        <v>261</v>
      </c>
      <c r="B2915" s="114" t="str">
        <f>VLOOKUP(A2915,'Data pick slip'!B:F,5,FALSE)</f>
        <v>KHJ-MC100-00</v>
      </c>
      <c r="F2915" s="157" t="s">
        <v>227</v>
      </c>
      <c r="H2915" s="138">
        <v>1321</v>
      </c>
      <c r="I2915" s="139" t="e">
        <f>VLOOKUP(H2915,Stock_list!A:R,18,FALSE)</f>
        <v>#N/A</v>
      </c>
      <c r="J2915" s="139" t="e">
        <f>VLOOKUP(H2915,Stock_list!A:S,17,FALSE)</f>
        <v>#N/A</v>
      </c>
      <c r="K2915" s="51" t="e">
        <f>VLOOKUP(H2915,Stock_list!A:T,16,FALSE)</f>
        <v>#N/A</v>
      </c>
      <c r="L2915" s="4">
        <v>44340</v>
      </c>
      <c r="M2915" s="132">
        <v>40</v>
      </c>
      <c r="P2915" s="4" t="e">
        <f>VLOOKUP(H2915,Stock_list!A:Y,25,FALSE)</f>
        <v>#N/A</v>
      </c>
      <c r="Q2915" s="143"/>
      <c r="T2915" s="144"/>
      <c r="U2915" s="145" t="e">
        <f>VLOOKUP(H2915,Stock_list!A:N,14,FALSE)</f>
        <v>#N/A</v>
      </c>
    </row>
    <row r="2916" spans="1:21" ht="16.5" customHeight="1">
      <c r="A2916" s="159" t="s">
        <v>261</v>
      </c>
      <c r="B2916" s="114" t="str">
        <f>VLOOKUP(A2916,'Data pick slip'!B:F,5,FALSE)</f>
        <v>KHJ-MC100-00</v>
      </c>
      <c r="F2916" s="157" t="s">
        <v>270</v>
      </c>
      <c r="H2916" s="138">
        <v>1322</v>
      </c>
      <c r="I2916" s="139" t="e">
        <f>VLOOKUP(H2916,Stock_list!A:R,18,FALSE)</f>
        <v>#N/A</v>
      </c>
      <c r="J2916" s="139" t="e">
        <f>VLOOKUP(H2916,Stock_list!A:S,17,FALSE)</f>
        <v>#N/A</v>
      </c>
      <c r="K2916" s="51" t="e">
        <f>VLOOKUP(H2916,Stock_list!A:T,16,FALSE)</f>
        <v>#N/A</v>
      </c>
      <c r="L2916" s="4">
        <v>44414</v>
      </c>
      <c r="M2916" s="132">
        <v>46</v>
      </c>
      <c r="P2916" s="4" t="e">
        <f>VLOOKUP(H2916,Stock_list!A:Y,25,FALSE)</f>
        <v>#N/A</v>
      </c>
      <c r="Q2916" s="143"/>
      <c r="T2916" s="144"/>
      <c r="U2916" s="145" t="e">
        <f>VLOOKUP(H2916,Stock_list!A:N,14,FALSE)</f>
        <v>#N/A</v>
      </c>
    </row>
    <row r="2917" spans="1:21" ht="16.5" customHeight="1">
      <c r="A2917" s="159" t="s">
        <v>264</v>
      </c>
      <c r="B2917" s="114" t="str">
        <f>VLOOKUP(A2917,'Data pick slip'!B:F,5,FALSE)</f>
        <v>KHJ-MC200-00</v>
      </c>
      <c r="F2917" s="157" t="s">
        <v>270</v>
      </c>
      <c r="H2917" s="138">
        <v>1322</v>
      </c>
      <c r="I2917" s="139" t="e">
        <f>VLOOKUP(H2917,Stock_list!A:R,18,FALSE)</f>
        <v>#N/A</v>
      </c>
      <c r="J2917" s="139" t="e">
        <f>VLOOKUP(H2917,Stock_list!A:S,17,FALSE)</f>
        <v>#N/A</v>
      </c>
      <c r="K2917" s="51" t="e">
        <f>VLOOKUP(H2917,Stock_list!A:T,16,FALSE)</f>
        <v>#N/A</v>
      </c>
      <c r="L2917" s="291">
        <v>44414</v>
      </c>
      <c r="M2917" s="132">
        <v>6</v>
      </c>
      <c r="P2917" s="4" t="e">
        <f>VLOOKUP(H2917,Stock_list!A:Y,25,FALSE)</f>
        <v>#N/A</v>
      </c>
      <c r="Q2917" s="143"/>
      <c r="T2917" s="144"/>
      <c r="U2917" s="145" t="e">
        <f>VLOOKUP(H2917,Stock_list!A:N,14,FALSE)</f>
        <v>#N/A</v>
      </c>
    </row>
    <row r="2918" spans="1:21" ht="16.5" customHeight="1">
      <c r="A2918" s="159" t="s">
        <v>261</v>
      </c>
      <c r="B2918" s="114" t="str">
        <f>VLOOKUP(A2918,'Data pick slip'!B:F,5,FALSE)</f>
        <v>KHJ-MC100-00</v>
      </c>
      <c r="F2918" s="157" t="s">
        <v>227</v>
      </c>
      <c r="H2918" s="138">
        <v>1323</v>
      </c>
      <c r="I2918" s="139" t="e">
        <f>VLOOKUP(H2918,Stock_list!A:R,18,FALSE)</f>
        <v>#N/A</v>
      </c>
      <c r="J2918" s="139" t="e">
        <f>VLOOKUP(H2918,Stock_list!A:S,17,FALSE)</f>
        <v>#N/A</v>
      </c>
      <c r="K2918" s="51" t="e">
        <f>VLOOKUP(H2918,Stock_list!A:T,16,FALSE)</f>
        <v>#N/A</v>
      </c>
      <c r="L2918" s="4">
        <v>44433</v>
      </c>
      <c r="M2918" s="132">
        <v>75</v>
      </c>
      <c r="P2918" s="4" t="e">
        <f>VLOOKUP(H2918,Stock_list!A:Y,25,FALSE)</f>
        <v>#N/A</v>
      </c>
      <c r="Q2918" s="143"/>
      <c r="T2918" s="144"/>
      <c r="U2918" s="145" t="e">
        <f>VLOOKUP(H2918,Stock_list!A:N,14,FALSE)</f>
        <v>#N/A</v>
      </c>
    </row>
    <row r="2919" spans="1:21" ht="16.5" customHeight="1">
      <c r="A2919" s="159" t="s">
        <v>264</v>
      </c>
      <c r="B2919" s="114" t="str">
        <f>VLOOKUP(A2919,'Data pick slip'!B:F,5,FALSE)</f>
        <v>KHJ-MC200-00</v>
      </c>
      <c r="F2919" s="157" t="s">
        <v>227</v>
      </c>
      <c r="H2919" s="138">
        <v>1323</v>
      </c>
      <c r="I2919" s="139" t="e">
        <f>VLOOKUP(H2919,Stock_list!A:R,18,FALSE)</f>
        <v>#N/A</v>
      </c>
      <c r="J2919" s="139" t="e">
        <f>VLOOKUP(H2919,Stock_list!A:S,17,FALSE)</f>
        <v>#N/A</v>
      </c>
      <c r="K2919" s="51" t="e">
        <f>VLOOKUP(H2919,Stock_list!A:T,16,FALSE)</f>
        <v>#N/A</v>
      </c>
      <c r="L2919" s="4">
        <v>44433</v>
      </c>
      <c r="M2919" s="132">
        <v>5</v>
      </c>
      <c r="P2919" s="4" t="e">
        <f>VLOOKUP(H2919,Stock_list!A:Y,25,FALSE)</f>
        <v>#N/A</v>
      </c>
      <c r="Q2919" s="143"/>
      <c r="T2919" s="144"/>
      <c r="U2919" s="145" t="e">
        <f>VLOOKUP(H2919,Stock_list!A:N,14,FALSE)</f>
        <v>#N/A</v>
      </c>
    </row>
    <row r="2920" spans="1:21" ht="16.5" customHeight="1">
      <c r="A2920" s="159" t="s">
        <v>261</v>
      </c>
      <c r="B2920" s="114" t="str">
        <f>VLOOKUP(A2920,'Data pick slip'!B:F,5,FALSE)</f>
        <v>KHJ-MC100-00</v>
      </c>
      <c r="F2920" s="157" t="s">
        <v>227</v>
      </c>
      <c r="H2920" s="138">
        <v>1324</v>
      </c>
      <c r="I2920" s="139" t="e">
        <f>VLOOKUP(H2920,Stock_list!A:R,18,FALSE)</f>
        <v>#N/A</v>
      </c>
      <c r="J2920" s="139" t="e">
        <f>VLOOKUP(H2920,Stock_list!A:S,17,FALSE)</f>
        <v>#N/A</v>
      </c>
      <c r="K2920" s="51" t="e">
        <f>VLOOKUP(H2920,Stock_list!A:T,16,FALSE)</f>
        <v>#N/A</v>
      </c>
      <c r="L2920" s="4">
        <v>44335</v>
      </c>
      <c r="M2920" s="132">
        <v>6</v>
      </c>
      <c r="P2920" s="4" t="e">
        <f>VLOOKUP(H2920,Stock_list!A:Y,25,FALSE)</f>
        <v>#N/A</v>
      </c>
      <c r="Q2920" s="143"/>
      <c r="T2920" s="144"/>
      <c r="U2920" s="145" t="e">
        <f>VLOOKUP(H2920,Stock_list!A:N,14,FALSE)</f>
        <v>#N/A</v>
      </c>
    </row>
    <row r="2921" spans="1:21" ht="16.5" customHeight="1">
      <c r="A2921" s="159" t="s">
        <v>265</v>
      </c>
      <c r="B2921" s="114" t="str">
        <f>VLOOKUP(A2921,'Data pick slip'!B:F,5,FALSE)</f>
        <v>KHJ-MC400-00</v>
      </c>
      <c r="F2921" s="157" t="s">
        <v>227</v>
      </c>
      <c r="H2921" s="138">
        <v>1324</v>
      </c>
      <c r="I2921" s="139" t="e">
        <f>VLOOKUP(H2921,Stock_list!A:R,18,FALSE)</f>
        <v>#N/A</v>
      </c>
      <c r="J2921" s="139" t="e">
        <f>VLOOKUP(H2921,Stock_list!A:S,17,FALSE)</f>
        <v>#N/A</v>
      </c>
      <c r="K2921" s="51" t="e">
        <f>VLOOKUP(H2921,Stock_list!A:T,16,FALSE)</f>
        <v>#N/A</v>
      </c>
      <c r="L2921" s="4">
        <v>44335</v>
      </c>
      <c r="M2921" s="132">
        <v>4</v>
      </c>
      <c r="P2921" s="4" t="e">
        <f>VLOOKUP(H2921,Stock_list!A:Y,25,FALSE)</f>
        <v>#N/A</v>
      </c>
      <c r="Q2921" s="143"/>
      <c r="T2921" s="144"/>
      <c r="U2921" s="145" t="e">
        <f>VLOOKUP(H2921,Stock_list!A:N,14,FALSE)</f>
        <v>#N/A</v>
      </c>
    </row>
    <row r="2922" spans="1:21" ht="16.5" customHeight="1">
      <c r="A2922" s="159" t="s">
        <v>264</v>
      </c>
      <c r="B2922" s="114" t="str">
        <f>VLOOKUP(A2922,'Data pick slip'!B:F,5,FALSE)</f>
        <v>KHJ-MC200-00</v>
      </c>
      <c r="F2922" s="157" t="s">
        <v>270</v>
      </c>
      <c r="I2922" s="139" t="s">
        <v>617</v>
      </c>
      <c r="J2922" s="267" t="s">
        <v>943</v>
      </c>
      <c r="K2922" s="51" t="s">
        <v>225</v>
      </c>
      <c r="L2922" s="4">
        <v>44299</v>
      </c>
      <c r="M2922" s="132">
        <v>2</v>
      </c>
      <c r="P2922" s="4" t="s">
        <v>214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261</v>
      </c>
      <c r="B2923" s="114" t="str">
        <f>VLOOKUP(A2923,'Data pick slip'!B:F,5,FALSE)</f>
        <v>KHJ-MC100-00</v>
      </c>
      <c r="F2923" s="157" t="s">
        <v>227</v>
      </c>
      <c r="H2923" s="138">
        <v>1335</v>
      </c>
      <c r="I2923" s="139" t="e">
        <f>VLOOKUP(H2923,Stock_list!A:R,18,FALSE)</f>
        <v>#N/A</v>
      </c>
      <c r="J2923" s="139" t="e">
        <f>VLOOKUP(H2923,Stock_list!A:S,17,FALSE)</f>
        <v>#N/A</v>
      </c>
      <c r="K2923" s="51" t="e">
        <f>VLOOKUP(H2923,Stock_list!A:T,16,FALSE)</f>
        <v>#N/A</v>
      </c>
      <c r="L2923" s="4">
        <v>44350</v>
      </c>
      <c r="M2923" s="132">
        <v>10</v>
      </c>
      <c r="P2923" s="4" t="e">
        <f>VLOOKUP(H2923,Stock_list!A:Y,25,FALSE)</f>
        <v>#N/A</v>
      </c>
      <c r="Q2923" s="143"/>
      <c r="T2923" s="144"/>
      <c r="U2923" s="145" t="e">
        <f>VLOOKUP(H2923,Stock_list!A:N,14,FALSE)</f>
        <v>#N/A</v>
      </c>
    </row>
    <row r="2924" spans="1:21" ht="16.5" customHeight="1">
      <c r="A2924" s="159" t="s">
        <v>264</v>
      </c>
      <c r="B2924" s="114" t="str">
        <f>VLOOKUP(A2924,'Data pick slip'!B:F,5,FALSE)</f>
        <v>KHJ-MC200-00</v>
      </c>
      <c r="F2924" s="157" t="s">
        <v>227</v>
      </c>
      <c r="H2924" s="138">
        <v>1335</v>
      </c>
      <c r="I2924" s="139" t="e">
        <f>VLOOKUP(H2924,Stock_list!A:R,18,FALSE)</f>
        <v>#N/A</v>
      </c>
      <c r="J2924" s="139" t="e">
        <f>VLOOKUP(H2924,Stock_list!A:S,17,FALSE)</f>
        <v>#N/A</v>
      </c>
      <c r="K2924" s="51" t="e">
        <f>VLOOKUP(H2924,Stock_list!A:T,16,FALSE)</f>
        <v>#N/A</v>
      </c>
      <c r="L2924" s="4">
        <v>44350</v>
      </c>
      <c r="M2924" s="132">
        <v>5</v>
      </c>
      <c r="P2924" s="4" t="e">
        <f>VLOOKUP(H2924,Stock_list!A:Y,25,FALSE)</f>
        <v>#N/A</v>
      </c>
      <c r="Q2924" s="143"/>
      <c r="T2924" s="144"/>
      <c r="U2924" s="145" t="e">
        <f>VLOOKUP(H2924,Stock_list!A:N,14,FALSE)</f>
        <v>#N/A</v>
      </c>
    </row>
    <row r="2925" spans="1:21" ht="16.5" customHeight="1">
      <c r="A2925" s="159" t="s">
        <v>261</v>
      </c>
      <c r="B2925" s="114" t="str">
        <f>VLOOKUP(A2925,'Data pick slip'!B:F,5,FALSE)</f>
        <v>KHJ-MC100-00</v>
      </c>
      <c r="F2925" s="157" t="s">
        <v>270</v>
      </c>
      <c r="H2925" s="138">
        <v>1336</v>
      </c>
      <c r="I2925" s="139" t="e">
        <f>VLOOKUP(H2925,Stock_list!A:R,18,FALSE)</f>
        <v>#N/A</v>
      </c>
      <c r="J2925" s="139" t="e">
        <f>VLOOKUP(H2925,Stock_list!A:S,17,FALSE)</f>
        <v>#N/A</v>
      </c>
      <c r="K2925" s="51" t="e">
        <f>VLOOKUP(H2925,Stock_list!A:T,16,FALSE)</f>
        <v>#N/A</v>
      </c>
      <c r="L2925" s="4">
        <v>44368</v>
      </c>
      <c r="M2925" s="132">
        <v>16</v>
      </c>
      <c r="P2925" s="4" t="e">
        <f>VLOOKUP(H2925,Stock_list!A:Y,25,FALSE)</f>
        <v>#N/A</v>
      </c>
      <c r="Q2925" s="143"/>
      <c r="T2925" s="144"/>
      <c r="U2925" s="145" t="e">
        <f>VLOOKUP(H2925,Stock_list!A:N,14,FALSE)</f>
        <v>#N/A</v>
      </c>
    </row>
    <row r="2926" spans="1:21" ht="18.75" customHeight="1">
      <c r="A2926" s="159" t="s">
        <v>264</v>
      </c>
      <c r="B2926" s="114" t="str">
        <f>VLOOKUP(A2926,'Data pick slip'!B:F,5,FALSE)</f>
        <v>KHJ-MC200-00</v>
      </c>
      <c r="F2926" s="157" t="s">
        <v>270</v>
      </c>
      <c r="H2926" s="138">
        <v>1336</v>
      </c>
      <c r="I2926" s="139" t="e">
        <f>VLOOKUP(H2926,Stock_list!A:R,18,FALSE)</f>
        <v>#N/A</v>
      </c>
      <c r="J2926" s="139" t="e">
        <f>VLOOKUP(H2926,Stock_list!A:S,17,FALSE)</f>
        <v>#N/A</v>
      </c>
      <c r="K2926" s="51" t="e">
        <f>VLOOKUP(H2926,Stock_list!A:T,16,FALSE)</f>
        <v>#N/A</v>
      </c>
      <c r="L2926" s="4">
        <v>44368</v>
      </c>
      <c r="M2926" s="132">
        <v>4</v>
      </c>
      <c r="P2926" s="4" t="e">
        <f>VLOOKUP(H2926,Stock_list!A:Y,25,FALSE)</f>
        <v>#N/A</v>
      </c>
      <c r="Q2926" s="143"/>
      <c r="T2926" s="144"/>
      <c r="U2926" s="145" t="e">
        <f>VLOOKUP(H2926,Stock_list!A:N,14,FALSE)</f>
        <v>#N/A</v>
      </c>
    </row>
    <row r="2927" spans="1:21" ht="18.75" customHeight="1">
      <c r="A2927" s="159" t="s">
        <v>261</v>
      </c>
      <c r="B2927" s="114" t="str">
        <f>VLOOKUP(A2927,'Data pick slip'!B:F,5,FALSE)</f>
        <v>KHJ-MC100-00</v>
      </c>
      <c r="F2927" s="157" t="s">
        <v>227</v>
      </c>
      <c r="H2927" s="138">
        <v>1338</v>
      </c>
      <c r="I2927" s="139" t="e">
        <f>VLOOKUP(H2927,Stock_list!A:R,18,FALSE)</f>
        <v>#N/A</v>
      </c>
      <c r="J2927" s="139" t="e">
        <f>VLOOKUP(H2927,Stock_list!A:S,17,FALSE)</f>
        <v>#N/A</v>
      </c>
      <c r="K2927" s="51" t="e">
        <f>VLOOKUP(H2927,Stock_list!A:T,16,FALSE)</f>
        <v>#N/A</v>
      </c>
      <c r="L2927" s="4">
        <v>44488</v>
      </c>
      <c r="M2927" s="132">
        <v>2</v>
      </c>
      <c r="P2927" s="4" t="e">
        <f>VLOOKUP(H2927,Stock_list!A:Y,25,FALSE)</f>
        <v>#N/A</v>
      </c>
      <c r="Q2927" s="143"/>
      <c r="T2927" s="144"/>
      <c r="U2927" s="145" t="e">
        <f>VLOOKUP(H2927,Stock_list!A:N,14,FALSE)</f>
        <v>#N/A</v>
      </c>
    </row>
    <row r="2928" spans="1:21" ht="18.75" customHeight="1">
      <c r="A2928" s="159" t="s">
        <v>261</v>
      </c>
      <c r="B2928" s="114" t="str">
        <f>VLOOKUP(A2928,'Data pick slip'!B:F,5,FALSE)</f>
        <v>KHJ-MC100-00</v>
      </c>
      <c r="F2928" s="157" t="s">
        <v>227</v>
      </c>
      <c r="H2928" s="138">
        <v>1338</v>
      </c>
      <c r="I2928" s="139" t="e">
        <f>VLOOKUP(H2928,Stock_list!A:R,18,FALSE)</f>
        <v>#N/A</v>
      </c>
      <c r="J2928" s="139" t="e">
        <f>VLOOKUP(H2928,Stock_list!A:S,17,FALSE)</f>
        <v>#N/A</v>
      </c>
      <c r="K2928" s="51" t="e">
        <f>VLOOKUP(H2928,Stock_list!A:T,16,FALSE)</f>
        <v>#N/A</v>
      </c>
      <c r="L2928" s="4">
        <v>44568</v>
      </c>
      <c r="M2928" s="132">
        <v>3</v>
      </c>
      <c r="P2928" s="4" t="e">
        <f>VLOOKUP(H2928,Stock_list!A:Y,25,FALSE)</f>
        <v>#N/A</v>
      </c>
      <c r="Q2928" s="143"/>
      <c r="T2928" s="144"/>
      <c r="U2928" s="145" t="e">
        <f>VLOOKUP(H2928,Stock_list!A:N,14,FALSE)</f>
        <v>#N/A</v>
      </c>
    </row>
    <row r="2929" spans="1:21" ht="16.5" customHeight="1">
      <c r="A2929" s="159" t="s">
        <v>273</v>
      </c>
      <c r="B2929" s="114" t="str">
        <f>VLOOKUP(A2929,'Data pick slip'!B:F,5,FALSE)</f>
        <v>KLJ-MC200-00</v>
      </c>
      <c r="F2929" s="157" t="s">
        <v>270</v>
      </c>
      <c r="I2929" s="139" t="s">
        <v>617</v>
      </c>
      <c r="J2929" s="267" t="s">
        <v>944</v>
      </c>
      <c r="K2929" s="51" t="s">
        <v>225</v>
      </c>
      <c r="L2929" s="4">
        <v>44288</v>
      </c>
      <c r="M2929" s="140">
        <v>7</v>
      </c>
      <c r="P2929" s="4" t="s">
        <v>214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264</v>
      </c>
      <c r="B2930" s="114" t="str">
        <f>VLOOKUP(A2930,'Data pick slip'!B:F,5,FALSE)</f>
        <v>KHJ-MC200-00</v>
      </c>
      <c r="F2930" s="157" t="s">
        <v>270</v>
      </c>
      <c r="I2930" s="139" t="s">
        <v>617</v>
      </c>
      <c r="J2930" s="267" t="s">
        <v>945</v>
      </c>
      <c r="K2930" s="51" t="s">
        <v>225</v>
      </c>
      <c r="L2930" s="4">
        <v>44288</v>
      </c>
      <c r="M2930" s="140">
        <v>10</v>
      </c>
      <c r="P2930" s="4" t="s">
        <v>214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274</v>
      </c>
      <c r="B2931" s="114" t="str">
        <f>VLOOKUP(A2931,'Data pick slip'!B:F,5,FALSE)</f>
        <v>KLJ-MC400-00</v>
      </c>
      <c r="F2931" s="157" t="s">
        <v>270</v>
      </c>
      <c r="I2931" s="139" t="s">
        <v>617</v>
      </c>
      <c r="J2931" s="269" t="s">
        <v>946</v>
      </c>
      <c r="K2931" s="51" t="s">
        <v>225</v>
      </c>
      <c r="L2931" s="4">
        <v>44305</v>
      </c>
      <c r="M2931" s="140">
        <v>3</v>
      </c>
      <c r="P2931" s="4" t="s">
        <v>214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261</v>
      </c>
      <c r="B2932" s="114" t="str">
        <f>VLOOKUP(A2932,'Data pick slip'!B:F,5,FALSE)</f>
        <v>KHJ-MC100-00</v>
      </c>
      <c r="F2932" s="157" t="s">
        <v>227</v>
      </c>
      <c r="I2932" s="269" t="s">
        <v>931</v>
      </c>
      <c r="J2932" s="139" t="s">
        <v>947</v>
      </c>
      <c r="K2932" s="51" t="s">
        <v>225</v>
      </c>
      <c r="L2932" s="4">
        <v>44295</v>
      </c>
      <c r="M2932" s="140">
        <v>100</v>
      </c>
      <c r="P2932" s="4" t="s">
        <v>214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264</v>
      </c>
      <c r="B2933" s="114" t="str">
        <f>VLOOKUP(A2933,'Data pick slip'!B:F,5,FALSE)</f>
        <v>KHJ-MC200-00</v>
      </c>
      <c r="F2933" s="157" t="s">
        <v>227</v>
      </c>
      <c r="I2933" s="269" t="s">
        <v>931</v>
      </c>
      <c r="J2933" s="139" t="s">
        <v>947</v>
      </c>
      <c r="K2933" s="51" t="s">
        <v>225</v>
      </c>
      <c r="L2933" s="4">
        <v>44295</v>
      </c>
      <c r="M2933" s="140">
        <v>20</v>
      </c>
      <c r="P2933" s="4" t="s">
        <v>214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276</v>
      </c>
      <c r="B2934" s="114" t="str">
        <f>VLOOKUP(A2934,'Data pick slip'!B:F,5,FALSE)</f>
        <v>KLJ-MC600-00</v>
      </c>
      <c r="F2934" s="157" t="s">
        <v>227</v>
      </c>
      <c r="I2934" s="269" t="s">
        <v>931</v>
      </c>
      <c r="J2934" s="139" t="s">
        <v>947</v>
      </c>
      <c r="K2934" s="51" t="s">
        <v>225</v>
      </c>
      <c r="L2934" s="4">
        <v>44295</v>
      </c>
      <c r="M2934" s="140">
        <v>1</v>
      </c>
      <c r="P2934" s="4" t="s">
        <v>214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261</v>
      </c>
      <c r="B2935" s="114" t="str">
        <f>VLOOKUP(A2935,'Data pick slip'!B:F,5,FALSE)</f>
        <v>KHJ-MC100-00</v>
      </c>
      <c r="F2935" s="157" t="s">
        <v>227</v>
      </c>
      <c r="I2935" s="269" t="s">
        <v>931</v>
      </c>
      <c r="J2935" s="139" t="s">
        <v>948</v>
      </c>
      <c r="K2935" s="51" t="s">
        <v>225</v>
      </c>
      <c r="L2935" s="4">
        <v>44305</v>
      </c>
      <c r="M2935" s="140">
        <v>50</v>
      </c>
      <c r="P2935" s="4" t="s">
        <v>214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264</v>
      </c>
      <c r="B2936" s="114" t="str">
        <f>VLOOKUP(A2936,'Data pick slip'!B:F,5,FALSE)</f>
        <v>KHJ-MC200-00</v>
      </c>
      <c r="F2936" s="157" t="s">
        <v>227</v>
      </c>
      <c r="I2936" s="269" t="s">
        <v>931</v>
      </c>
      <c r="J2936" s="139" t="s">
        <v>948</v>
      </c>
      <c r="K2936" s="51" t="s">
        <v>225</v>
      </c>
      <c r="L2936" s="4">
        <v>44305</v>
      </c>
      <c r="M2936" s="140">
        <v>30</v>
      </c>
      <c r="P2936" s="4" t="s">
        <v>214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261</v>
      </c>
      <c r="B2937" s="114" t="str">
        <f>VLOOKUP(A2937,'Data pick slip'!B:F,5,FALSE)</f>
        <v>KHJ-MC100-00</v>
      </c>
      <c r="F2937" s="157" t="s">
        <v>379</v>
      </c>
      <c r="H2937" s="138">
        <v>1340</v>
      </c>
      <c r="I2937" s="139" t="e">
        <f>VLOOKUP(H2937,Stock_list!A:R,18,FALSE)</f>
        <v>#N/A</v>
      </c>
      <c r="J2937" s="139" t="e">
        <f>VLOOKUP(H2937,Stock_list!A:S,17,FALSE)</f>
        <v>#N/A</v>
      </c>
      <c r="K2937" s="51" t="e">
        <f>VLOOKUP(H2937,Stock_list!A:T,16,FALSE)</f>
        <v>#N/A</v>
      </c>
      <c r="L2937" s="4">
        <v>44337</v>
      </c>
      <c r="M2937" s="143">
        <v>90</v>
      </c>
      <c r="P2937" s="4" t="e">
        <f>VLOOKUP(H2937,Stock_list!A:Y,25,FALSE)</f>
        <v>#N/A</v>
      </c>
      <c r="T2937" s="144"/>
      <c r="U2937" s="145" t="e">
        <f>VLOOKUP(H2937,Stock_list!A:N,14,FALSE)</f>
        <v>#N/A</v>
      </c>
    </row>
    <row r="2938" spans="1:21" ht="16.5" customHeight="1">
      <c r="A2938" s="159" t="s">
        <v>264</v>
      </c>
      <c r="B2938" s="114" t="str">
        <f>VLOOKUP(A2938,'Data pick slip'!B:F,5,FALSE)</f>
        <v>KHJ-MC200-00</v>
      </c>
      <c r="F2938" s="157" t="s">
        <v>379</v>
      </c>
      <c r="H2938" s="138">
        <v>1340</v>
      </c>
      <c r="I2938" s="139" t="e">
        <f>VLOOKUP(H2938,Stock_list!A:R,18,FALSE)</f>
        <v>#N/A</v>
      </c>
      <c r="J2938" s="139" t="e">
        <f>VLOOKUP(H2938,Stock_list!A:S,17,FALSE)</f>
        <v>#N/A</v>
      </c>
      <c r="K2938" s="51" t="e">
        <f>VLOOKUP(H2938,Stock_list!A:T,16,FALSE)</f>
        <v>#N/A</v>
      </c>
      <c r="L2938" s="4">
        <v>44337</v>
      </c>
      <c r="M2938" s="143">
        <v>12</v>
      </c>
      <c r="P2938" s="4" t="e">
        <f>VLOOKUP(H2938,Stock_list!A:Y,25,FALSE)</f>
        <v>#N/A</v>
      </c>
      <c r="T2938" s="144"/>
      <c r="U2938" s="145" t="e">
        <f>VLOOKUP(H2938,Stock_list!A:N,14,FALSE)</f>
        <v>#N/A</v>
      </c>
    </row>
    <row r="2939" spans="1:21" ht="16.5" customHeight="1">
      <c r="A2939" s="159" t="s">
        <v>265</v>
      </c>
      <c r="B2939" s="114" t="str">
        <f>VLOOKUP(A2939,'Data pick slip'!B:F,5,FALSE)</f>
        <v>KHJ-MC400-00</v>
      </c>
      <c r="F2939" s="157" t="s">
        <v>379</v>
      </c>
      <c r="H2939" s="138">
        <v>1340</v>
      </c>
      <c r="I2939" s="139" t="e">
        <f>VLOOKUP(H2939,Stock_list!A:R,18,FALSE)</f>
        <v>#N/A</v>
      </c>
      <c r="J2939" s="139" t="e">
        <f>VLOOKUP(H2939,Stock_list!A:S,17,FALSE)</f>
        <v>#N/A</v>
      </c>
      <c r="K2939" s="51" t="e">
        <f>VLOOKUP(H2939,Stock_list!A:T,16,FALSE)</f>
        <v>#N/A</v>
      </c>
      <c r="L2939" s="4">
        <v>44337</v>
      </c>
      <c r="M2939" s="143">
        <v>9</v>
      </c>
      <c r="P2939" s="4" t="e">
        <f>VLOOKUP(H2939,Stock_list!A:Y,25,FALSE)</f>
        <v>#N/A</v>
      </c>
      <c r="T2939" s="144"/>
      <c r="U2939" s="145" t="e">
        <f>VLOOKUP(H2939,Stock_list!A:N,14,FALSE)</f>
        <v>#N/A</v>
      </c>
    </row>
    <row r="2940" spans="1:21" ht="16.5" customHeight="1">
      <c r="A2940" s="159" t="s">
        <v>266</v>
      </c>
      <c r="B2940" s="114" t="str">
        <f>VLOOKUP(A2940,'Data pick slip'!B:F,5,FALSE)</f>
        <v>KHJ-MC500-00</v>
      </c>
      <c r="F2940" s="157" t="s">
        <v>379</v>
      </c>
      <c r="H2940" s="138">
        <v>1340</v>
      </c>
      <c r="I2940" s="139" t="e">
        <f>VLOOKUP(H2940,Stock_list!A:R,18,FALSE)</f>
        <v>#N/A</v>
      </c>
      <c r="J2940" s="139" t="e">
        <f>VLOOKUP(H2940,Stock_list!A:S,17,FALSE)</f>
        <v>#N/A</v>
      </c>
      <c r="K2940" s="51" t="e">
        <f>VLOOKUP(H2940,Stock_list!A:T,16,FALSE)</f>
        <v>#N/A</v>
      </c>
      <c r="L2940" s="4">
        <v>44337</v>
      </c>
      <c r="M2940" s="143">
        <v>10</v>
      </c>
      <c r="P2940" s="4" t="e">
        <f>VLOOKUP(H2940,Stock_list!A:Y,25,FALSE)</f>
        <v>#N/A</v>
      </c>
      <c r="T2940" s="144"/>
      <c r="U2940" s="145" t="e">
        <f>VLOOKUP(H2940,Stock_list!A:N,14,FALSE)</f>
        <v>#N/A</v>
      </c>
    </row>
    <row r="2941" spans="1:21" ht="16.5" customHeight="1">
      <c r="A2941" s="159" t="s">
        <v>267</v>
      </c>
      <c r="B2941" s="114" t="str">
        <f>VLOOKUP(A2941,'Data pick slip'!B:F,5,FALSE)</f>
        <v>KHJ-MC600-00</v>
      </c>
      <c r="F2941" s="157" t="s">
        <v>379</v>
      </c>
      <c r="H2941" s="138">
        <v>1340</v>
      </c>
      <c r="I2941" s="139" t="e">
        <f>VLOOKUP(H2941,Stock_list!A:R,18,FALSE)</f>
        <v>#N/A</v>
      </c>
      <c r="J2941" s="139" t="e">
        <f>VLOOKUP(H2941,Stock_list!A:S,17,FALSE)</f>
        <v>#N/A</v>
      </c>
      <c r="K2941" s="51" t="e">
        <f>VLOOKUP(H2941,Stock_list!A:T,16,FALSE)</f>
        <v>#N/A</v>
      </c>
      <c r="L2941" s="4">
        <v>44337</v>
      </c>
      <c r="M2941" s="143">
        <v>1</v>
      </c>
      <c r="P2941" s="4" t="e">
        <f>VLOOKUP(H2941,Stock_list!A:Y,25,FALSE)</f>
        <v>#N/A</v>
      </c>
      <c r="T2941" s="144"/>
      <c r="U2941" s="145" t="e">
        <f>VLOOKUP(H2941,Stock_list!A:N,14,FALSE)</f>
        <v>#N/A</v>
      </c>
    </row>
    <row r="2942" spans="1:21" ht="16.5" customHeight="1">
      <c r="A2942" s="159" t="s">
        <v>261</v>
      </c>
      <c r="B2942" s="114" t="str">
        <f>VLOOKUP(A2942,'Data pick slip'!B:F,5,FALSE)</f>
        <v>KHJ-MC100-00</v>
      </c>
      <c r="F2942" s="157" t="s">
        <v>379</v>
      </c>
      <c r="H2942" s="138">
        <v>1343</v>
      </c>
      <c r="I2942" s="139" t="e">
        <f>VLOOKUP(H2942,Stock_list!A:R,18,FALSE)</f>
        <v>#N/A</v>
      </c>
      <c r="J2942" s="139" t="e">
        <f>VLOOKUP(H2942,Stock_list!A:S,17,FALSE)</f>
        <v>#N/A</v>
      </c>
      <c r="K2942" s="51" t="e">
        <f>VLOOKUP(H2942,Stock_list!A:T,16,FALSE)</f>
        <v>#N/A</v>
      </c>
      <c r="L2942" s="4">
        <v>44748</v>
      </c>
      <c r="M2942" s="132">
        <v>95</v>
      </c>
      <c r="P2942" s="4" t="e">
        <f>VLOOKUP(H2942,Stock_list!A:Y,25,FALSE)</f>
        <v>#N/A</v>
      </c>
      <c r="Q2942" s="143"/>
      <c r="T2942" s="144"/>
      <c r="U2942" s="145" t="e">
        <f>VLOOKUP(H2942,Stock_list!A:N,14,FALSE)</f>
        <v>#N/A</v>
      </c>
    </row>
    <row r="2943" spans="1:21" ht="16.5" customHeight="1">
      <c r="A2943" s="159" t="s">
        <v>261</v>
      </c>
      <c r="B2943" s="114" t="str">
        <f>VLOOKUP(A2943,'Data pick slip'!B:F,5,FALSE)</f>
        <v>KHJ-MC100-00</v>
      </c>
      <c r="F2943" s="157" t="s">
        <v>270</v>
      </c>
      <c r="H2943" s="138">
        <v>1343</v>
      </c>
      <c r="I2943" s="139" t="e">
        <f>VLOOKUP(H2943,Stock_list!A:R,18,FALSE)</f>
        <v>#N/A</v>
      </c>
      <c r="J2943" s="139" t="e">
        <f>VLOOKUP(H2943,Stock_list!A:S,17,FALSE)</f>
        <v>#N/A</v>
      </c>
      <c r="K2943" s="51" t="e">
        <f>VLOOKUP(H2943,Stock_list!A:T,16,FALSE)</f>
        <v>#N/A</v>
      </c>
      <c r="L2943" s="4">
        <v>44336</v>
      </c>
      <c r="O2943" s="132">
        <f>50-50</f>
        <v>0</v>
      </c>
      <c r="P2943" s="4" t="e">
        <f>VLOOKUP(H2943,Stock_list!A:Y,25,FALSE)</f>
        <v>#N/A</v>
      </c>
      <c r="Q2943" s="143"/>
      <c r="T2943" s="144"/>
      <c r="U2943" s="145" t="e">
        <f>VLOOKUP(H2943,Stock_list!A:N,14,FALSE)</f>
        <v>#N/A</v>
      </c>
    </row>
    <row r="2944" spans="1:21" ht="16.5" customHeight="1">
      <c r="A2944" s="159" t="s">
        <v>264</v>
      </c>
      <c r="B2944" s="114" t="str">
        <f>VLOOKUP(A2944,'Data pick slip'!B:F,5,FALSE)</f>
        <v>KHJ-MC200-00</v>
      </c>
      <c r="F2944" s="157" t="s">
        <v>227</v>
      </c>
      <c r="H2944" s="138">
        <v>1343</v>
      </c>
      <c r="I2944" s="139" t="e">
        <f>VLOOKUP(H2944,Stock_list!A:R,18,FALSE)</f>
        <v>#N/A</v>
      </c>
      <c r="J2944" s="139" t="e">
        <f>VLOOKUP(H2944,Stock_list!A:S,17,FALSE)</f>
        <v>#N/A</v>
      </c>
      <c r="K2944" s="51" t="e">
        <f>VLOOKUP(H2944,Stock_list!A:T,16,FALSE)</f>
        <v>#N/A</v>
      </c>
      <c r="L2944" s="4">
        <v>44748</v>
      </c>
      <c r="M2944" s="132">
        <v>15</v>
      </c>
      <c r="P2944" s="4" t="e">
        <f>VLOOKUP(H2944,Stock_list!A:Y,25,FALSE)</f>
        <v>#N/A</v>
      </c>
      <c r="Q2944" s="143"/>
      <c r="T2944" s="144"/>
      <c r="U2944" s="145" t="e">
        <f>VLOOKUP(H2944,Stock_list!A:N,14,FALSE)</f>
        <v>#N/A</v>
      </c>
    </row>
    <row r="2945" spans="1:21" ht="16.5" customHeight="1">
      <c r="A2945" s="159" t="s">
        <v>261</v>
      </c>
      <c r="B2945" s="114" t="str">
        <f>VLOOKUP(A2945,'Data pick slip'!B:F,5,FALSE)</f>
        <v>KHJ-MC100-00</v>
      </c>
      <c r="F2945" s="157" t="s">
        <v>227</v>
      </c>
      <c r="H2945" s="138">
        <v>1346</v>
      </c>
      <c r="I2945" s="139" t="e">
        <f>VLOOKUP(H2945,Stock_list!A:R,18,FALSE)</f>
        <v>#N/A</v>
      </c>
      <c r="J2945" s="139" t="e">
        <f>VLOOKUP(H2945,Stock_list!A:S,17,FALSE)</f>
        <v>#N/A</v>
      </c>
      <c r="K2945" s="51" t="e">
        <f>VLOOKUP(H2945,Stock_list!A:T,16,FALSE)</f>
        <v>#N/A</v>
      </c>
      <c r="L2945" s="4">
        <v>44428</v>
      </c>
      <c r="M2945" s="132">
        <v>40</v>
      </c>
      <c r="P2945" s="4" t="e">
        <f>VLOOKUP(H2945,Stock_list!A:Y,25,FALSE)</f>
        <v>#N/A</v>
      </c>
      <c r="Q2945" s="143"/>
      <c r="T2945" s="144"/>
      <c r="U2945" s="145" t="e">
        <f>VLOOKUP(H2945,Stock_list!A:N,14,FALSE)</f>
        <v>#N/A</v>
      </c>
    </row>
    <row r="2946" spans="1:21" ht="16.5" customHeight="1">
      <c r="A2946" s="159" t="s">
        <v>264</v>
      </c>
      <c r="B2946" s="114" t="str">
        <f>VLOOKUP(A2946,'Data pick slip'!B:F,5,FALSE)</f>
        <v>KHJ-MC200-00</v>
      </c>
      <c r="F2946" s="157" t="s">
        <v>227</v>
      </c>
      <c r="H2946" s="138">
        <v>1346</v>
      </c>
      <c r="I2946" s="139" t="e">
        <f>VLOOKUP(H2946,Stock_list!A:R,18,FALSE)</f>
        <v>#N/A</v>
      </c>
      <c r="J2946" s="139" t="e">
        <f>VLOOKUP(H2946,Stock_list!A:S,17,FALSE)</f>
        <v>#N/A</v>
      </c>
      <c r="K2946" s="51" t="e">
        <f>VLOOKUP(H2946,Stock_list!A:T,16,FALSE)</f>
        <v>#N/A</v>
      </c>
      <c r="L2946" s="4">
        <v>44428</v>
      </c>
      <c r="M2946" s="132">
        <v>10</v>
      </c>
      <c r="P2946" s="4" t="e">
        <f>VLOOKUP(H2946,Stock_list!A:Y,25,FALSE)</f>
        <v>#N/A</v>
      </c>
      <c r="Q2946" s="143"/>
      <c r="T2946" s="144"/>
      <c r="U2946" s="145" t="e">
        <f>VLOOKUP(H2946,Stock_list!A:N,14,FALSE)</f>
        <v>#N/A</v>
      </c>
    </row>
    <row r="2947" spans="1:21" ht="16.5" customHeight="1">
      <c r="A2947" s="159" t="s">
        <v>261</v>
      </c>
      <c r="B2947" s="114" t="str">
        <f>VLOOKUP(A2947,'Data pick slip'!B:F,5,FALSE)</f>
        <v>KHJ-MC100-00</v>
      </c>
      <c r="F2947" s="157" t="s">
        <v>227</v>
      </c>
      <c r="I2947" s="269" t="s">
        <v>931</v>
      </c>
      <c r="J2947" s="139" t="s">
        <v>949</v>
      </c>
      <c r="K2947" s="51" t="s">
        <v>225</v>
      </c>
      <c r="L2947" s="4">
        <v>44308</v>
      </c>
      <c r="M2947" s="140">
        <v>50</v>
      </c>
      <c r="P2947" s="4" t="s">
        <v>214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264</v>
      </c>
      <c r="B2948" s="114" t="str">
        <f>VLOOKUP(A2948,'Data pick slip'!B:F,5,FALSE)</f>
        <v>KHJ-MC200-00</v>
      </c>
      <c r="F2948" s="157" t="s">
        <v>227</v>
      </c>
      <c r="I2948" s="269" t="s">
        <v>931</v>
      </c>
      <c r="J2948" s="139" t="s">
        <v>949</v>
      </c>
      <c r="K2948" s="51" t="s">
        <v>225</v>
      </c>
      <c r="L2948" s="4">
        <v>44308</v>
      </c>
      <c r="M2948" s="140">
        <v>20</v>
      </c>
      <c r="P2948" s="4" t="s">
        <v>214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261</v>
      </c>
      <c r="B2949" s="114" t="str">
        <f>VLOOKUP(A2949,'Data pick slip'!B:F,5,FALSE)</f>
        <v>KHJ-MC100-00</v>
      </c>
      <c r="F2949" s="157" t="s">
        <v>227</v>
      </c>
      <c r="I2949" s="269" t="s">
        <v>931</v>
      </c>
      <c r="J2949" s="139" t="s">
        <v>950</v>
      </c>
      <c r="K2949" s="51" t="s">
        <v>225</v>
      </c>
      <c r="L2949" s="4">
        <v>44312</v>
      </c>
      <c r="M2949" s="140">
        <v>72</v>
      </c>
      <c r="P2949" s="4" t="s">
        <v>214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264</v>
      </c>
      <c r="B2950" s="114" t="str">
        <f>VLOOKUP(A2950,'Data pick slip'!B:F,5,FALSE)</f>
        <v>KHJ-MC200-00</v>
      </c>
      <c r="F2950" s="157" t="s">
        <v>227</v>
      </c>
      <c r="I2950" s="269" t="s">
        <v>931</v>
      </c>
      <c r="J2950" s="139" t="s">
        <v>950</v>
      </c>
      <c r="K2950" s="51" t="s">
        <v>225</v>
      </c>
      <c r="L2950" s="4">
        <v>44312</v>
      </c>
      <c r="M2950" s="140">
        <v>34</v>
      </c>
      <c r="P2950" s="4" t="s">
        <v>214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272</v>
      </c>
      <c r="B2951" s="114" t="str">
        <f>VLOOKUP(A2951,'Data pick slip'!B:F,5,FALSE)</f>
        <v>KLJ-MC100-00</v>
      </c>
      <c r="F2951" s="157" t="s">
        <v>227</v>
      </c>
      <c r="I2951" s="269" t="s">
        <v>931</v>
      </c>
      <c r="J2951" s="139" t="s">
        <v>950</v>
      </c>
      <c r="K2951" s="51" t="s">
        <v>225</v>
      </c>
      <c r="L2951" s="4">
        <v>44312</v>
      </c>
      <c r="M2951" s="140">
        <v>50</v>
      </c>
      <c r="P2951" s="4" t="s">
        <v>214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273</v>
      </c>
      <c r="B2952" s="114" t="str">
        <f>VLOOKUP(A2952,'Data pick slip'!B:F,5,FALSE)</f>
        <v>KLJ-MC200-00</v>
      </c>
      <c r="F2952" s="157" t="s">
        <v>227</v>
      </c>
      <c r="I2952" s="269" t="s">
        <v>931</v>
      </c>
      <c r="J2952" s="139" t="s">
        <v>950</v>
      </c>
      <c r="K2952" s="51" t="s">
        <v>225</v>
      </c>
      <c r="L2952" s="4">
        <v>44312</v>
      </c>
      <c r="M2952" s="140">
        <v>20</v>
      </c>
      <c r="P2952" s="4" t="s">
        <v>214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274</v>
      </c>
      <c r="B2953" s="114" t="str">
        <f>VLOOKUP(A2953,'Data pick slip'!B:F,5,FALSE)</f>
        <v>KLJ-MC400-00</v>
      </c>
      <c r="F2953" s="157" t="s">
        <v>227</v>
      </c>
      <c r="I2953" s="269" t="s">
        <v>931</v>
      </c>
      <c r="J2953" s="139" t="s">
        <v>950</v>
      </c>
      <c r="K2953" s="51" t="s">
        <v>225</v>
      </c>
      <c r="L2953" s="4">
        <v>44312</v>
      </c>
      <c r="M2953" s="140">
        <v>18</v>
      </c>
      <c r="P2953" s="4" t="s">
        <v>214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</v>
      </c>
      <c r="B2954" s="114" t="str">
        <f>VLOOKUP(A2954,'Data pick slip'!B:F,5,FALSE)</f>
        <v>KLJ-MC500-00</v>
      </c>
      <c r="F2954" s="157" t="s">
        <v>227</v>
      </c>
      <c r="I2954" s="269" t="s">
        <v>931</v>
      </c>
      <c r="J2954" s="139" t="s">
        <v>950</v>
      </c>
      <c r="K2954" s="51" t="s">
        <v>225</v>
      </c>
      <c r="L2954" s="4">
        <v>44312</v>
      </c>
      <c r="M2954" s="140">
        <v>10</v>
      </c>
      <c r="P2954" s="4" t="s">
        <v>214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276</v>
      </c>
      <c r="B2955" s="114" t="str">
        <f>VLOOKUP(A2955,'Data pick slip'!B:F,5,FALSE)</f>
        <v>KLJ-MC600-00</v>
      </c>
      <c r="F2955" s="157" t="s">
        <v>227</v>
      </c>
      <c r="I2955" s="269" t="s">
        <v>931</v>
      </c>
      <c r="J2955" s="139" t="s">
        <v>950</v>
      </c>
      <c r="K2955" s="51" t="s">
        <v>225</v>
      </c>
      <c r="L2955" s="4">
        <v>44312</v>
      </c>
      <c r="M2955" s="140">
        <v>5</v>
      </c>
      <c r="P2955" s="4" t="s">
        <v>214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261</v>
      </c>
      <c r="B2956" s="114" t="str">
        <f>VLOOKUP(A2956,'Data pick slip'!B:F,5,FALSE)</f>
        <v>KHJ-MC100-00</v>
      </c>
      <c r="F2956" s="157" t="s">
        <v>227</v>
      </c>
      <c r="H2956" s="138">
        <v>1350</v>
      </c>
      <c r="I2956" s="139" t="e">
        <f>VLOOKUP(H2956,Stock_list!A:R,18,FALSE)</f>
        <v>#N/A</v>
      </c>
      <c r="J2956" s="139" t="e">
        <f>VLOOKUP(H2956,Stock_list!A:S,17,FALSE)</f>
        <v>#N/A</v>
      </c>
      <c r="K2956" s="51" t="e">
        <f>VLOOKUP(H2956,Stock_list!A:T,16,FALSE)</f>
        <v>#N/A</v>
      </c>
      <c r="L2956" s="4">
        <v>44354</v>
      </c>
      <c r="M2956" s="132">
        <v>20</v>
      </c>
      <c r="P2956" s="4" t="e">
        <f>VLOOKUP(H2956,Stock_list!A:Y,25,FALSE)</f>
        <v>#N/A</v>
      </c>
      <c r="Q2956" s="143"/>
      <c r="T2956" s="144"/>
      <c r="U2956" s="145" t="e">
        <f>VLOOKUP(H2956,Stock_list!A:N,14,FALSE)</f>
        <v>#N/A</v>
      </c>
    </row>
    <row r="2957" spans="1:21" ht="16.5" customHeight="1">
      <c r="A2957" s="159" t="s">
        <v>264</v>
      </c>
      <c r="B2957" s="114" t="str">
        <f>VLOOKUP(A2957,'Data pick slip'!B:F,5,FALSE)</f>
        <v>KHJ-MC200-00</v>
      </c>
      <c r="F2957" s="157" t="s">
        <v>227</v>
      </c>
      <c r="H2957" s="138">
        <v>1350</v>
      </c>
      <c r="I2957" s="139" t="e">
        <f>VLOOKUP(H2957,Stock_list!A:R,18,FALSE)</f>
        <v>#N/A</v>
      </c>
      <c r="J2957" s="139" t="e">
        <f>VLOOKUP(H2957,Stock_list!A:S,17,FALSE)</f>
        <v>#N/A</v>
      </c>
      <c r="K2957" s="51" t="e">
        <f>VLOOKUP(H2957,Stock_list!A:T,16,FALSE)</f>
        <v>#N/A</v>
      </c>
      <c r="L2957" s="4">
        <v>44354</v>
      </c>
      <c r="M2957" s="132">
        <v>5</v>
      </c>
      <c r="P2957" s="4" t="e">
        <f>VLOOKUP(H2957,Stock_list!A:Y,25,FALSE)</f>
        <v>#N/A</v>
      </c>
      <c r="Q2957" s="143"/>
      <c r="T2957" s="144"/>
      <c r="U2957" s="145" t="e">
        <f>VLOOKUP(H2957,Stock_list!A:N,14,FALSE)</f>
        <v>#N/A</v>
      </c>
    </row>
    <row r="2958" spans="1:21" ht="16.5" customHeight="1">
      <c r="A2958" s="159" t="s">
        <v>265</v>
      </c>
      <c r="B2958" s="114" t="str">
        <f>VLOOKUP(A2958,'Data pick slip'!B:F,5,FALSE)</f>
        <v>KHJ-MC400-00</v>
      </c>
      <c r="F2958" s="157" t="s">
        <v>227</v>
      </c>
      <c r="H2958" s="138">
        <v>1350</v>
      </c>
      <c r="I2958" s="139" t="e">
        <f>VLOOKUP(H2958,Stock_list!A:R,18,FALSE)</f>
        <v>#N/A</v>
      </c>
      <c r="J2958" s="139" t="e">
        <f>VLOOKUP(H2958,Stock_list!A:S,17,FALSE)</f>
        <v>#N/A</v>
      </c>
      <c r="K2958" s="51" t="e">
        <f>VLOOKUP(H2958,Stock_list!A:T,16,FALSE)</f>
        <v>#N/A</v>
      </c>
      <c r="L2958" s="4">
        <v>44354</v>
      </c>
      <c r="M2958" s="132">
        <v>2</v>
      </c>
      <c r="P2958" s="4" t="e">
        <f>VLOOKUP(H2958,Stock_list!A:Y,25,FALSE)</f>
        <v>#N/A</v>
      </c>
      <c r="Q2958" s="143"/>
      <c r="T2958" s="144"/>
      <c r="U2958" s="145" t="e">
        <f>VLOOKUP(H2958,Stock_list!A:N,14,FALSE)</f>
        <v>#N/A</v>
      </c>
    </row>
    <row r="2959" spans="1:21" ht="16.5" customHeight="1">
      <c r="A2959" s="159" t="s">
        <v>261</v>
      </c>
      <c r="B2959" s="114" t="str">
        <f>VLOOKUP(A2959,'Data pick slip'!B:F,5,FALSE)</f>
        <v>KHJ-MC100-00</v>
      </c>
      <c r="F2959" s="157" t="s">
        <v>227</v>
      </c>
      <c r="H2959" s="138">
        <v>1353</v>
      </c>
      <c r="I2959" s="139" t="e">
        <f>VLOOKUP(H2959,Stock_list!A:R,18,FALSE)</f>
        <v>#N/A</v>
      </c>
      <c r="J2959" s="139" t="e">
        <f>VLOOKUP(H2959,Stock_list!A:S,17,FALSE)</f>
        <v>#N/A</v>
      </c>
      <c r="K2959" s="51" t="e">
        <f>VLOOKUP(H2959,Stock_list!A:T,16,FALSE)</f>
        <v>#N/A</v>
      </c>
      <c r="L2959" s="4">
        <v>44571</v>
      </c>
      <c r="M2959" s="140">
        <v>25</v>
      </c>
      <c r="P2959" s="4" t="e">
        <f>VLOOKUP(H2959,Stock_list!A:Y,25,FALSE)</f>
        <v>#N/A</v>
      </c>
      <c r="Q2959" s="143"/>
      <c r="T2959" s="144"/>
      <c r="U2959" s="145" t="e">
        <f>VLOOKUP(H2959,Stock_list!A:N,14,FALSE)</f>
        <v>#N/A</v>
      </c>
    </row>
    <row r="2960" spans="1:21" ht="16.5" customHeight="1">
      <c r="A2960" s="159" t="s">
        <v>261</v>
      </c>
      <c r="B2960" s="114" t="str">
        <f>VLOOKUP(A2960,'Data pick slip'!B:F,5,FALSE)</f>
        <v>KHJ-MC100-00</v>
      </c>
      <c r="F2960" s="157" t="s">
        <v>270</v>
      </c>
      <c r="I2960" s="139" t="s">
        <v>804</v>
      </c>
      <c r="J2960" s="270" t="s">
        <v>951</v>
      </c>
      <c r="K2960" s="51" t="s">
        <v>225</v>
      </c>
      <c r="L2960" s="4">
        <v>44316</v>
      </c>
      <c r="M2960" s="140">
        <v>15</v>
      </c>
      <c r="P2960" s="4" t="s">
        <v>214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267</v>
      </c>
      <c r="B2961" s="114" t="str">
        <f>VLOOKUP(A2961,'Data pick slip'!B:F,5,FALSE)</f>
        <v>KHJ-MC600-00</v>
      </c>
      <c r="F2961" s="157" t="s">
        <v>270</v>
      </c>
      <c r="I2961" s="139" t="s">
        <v>617</v>
      </c>
      <c r="J2961" s="139" t="s">
        <v>952</v>
      </c>
      <c r="K2961" s="51" t="s">
        <v>225</v>
      </c>
      <c r="L2961" s="4">
        <v>44314</v>
      </c>
      <c r="M2961" s="140">
        <v>1</v>
      </c>
      <c r="P2961" s="4" t="s">
        <v>214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261</v>
      </c>
      <c r="B2962" s="114" t="str">
        <f>VLOOKUP(A2962,'Data pick slip'!B:F,5,FALSE)</f>
        <v>KHJ-MC100-00</v>
      </c>
      <c r="F2962" s="157" t="s">
        <v>227</v>
      </c>
      <c r="H2962" s="138">
        <v>1354</v>
      </c>
      <c r="I2962" s="139" t="e">
        <f>VLOOKUP(H2962,Stock_list!A:R,18,FALSE)</f>
        <v>#N/A</v>
      </c>
      <c r="J2962" s="139" t="e">
        <f>VLOOKUP(H2962,Stock_list!A:S,17,FALSE)</f>
        <v>#N/A</v>
      </c>
      <c r="K2962" s="51" t="e">
        <f>VLOOKUP(H2962,Stock_list!A:T,16,FALSE)</f>
        <v>#N/A</v>
      </c>
      <c r="L2962" s="4">
        <v>44530</v>
      </c>
      <c r="M2962" s="143">
        <v>200</v>
      </c>
      <c r="P2962" s="4" t="e">
        <f>VLOOKUP(H2962,Stock_list!A:Y,25,FALSE)</f>
        <v>#N/A</v>
      </c>
      <c r="T2962" s="144"/>
      <c r="U2962" s="145" t="e">
        <f>VLOOKUP(H2962,Stock_list!A:N,14,FALSE)</f>
        <v>#N/A</v>
      </c>
    </row>
    <row r="2963" spans="1:21" ht="16.5" customHeight="1">
      <c r="A2963" s="159" t="s">
        <v>264</v>
      </c>
      <c r="B2963" s="114" t="str">
        <f>VLOOKUP(A2963,'Data pick slip'!B:F,5,FALSE)</f>
        <v>KHJ-MC200-00</v>
      </c>
      <c r="F2963" s="157" t="s">
        <v>227</v>
      </c>
      <c r="H2963" s="138">
        <v>1354</v>
      </c>
      <c r="I2963" s="139" t="e">
        <f>VLOOKUP(H2963,Stock_list!A:R,18,FALSE)</f>
        <v>#N/A</v>
      </c>
      <c r="J2963" s="139" t="e">
        <f>VLOOKUP(H2963,Stock_list!A:S,17,FALSE)</f>
        <v>#N/A</v>
      </c>
      <c r="K2963" s="51" t="e">
        <f>VLOOKUP(H2963,Stock_list!A:T,16,FALSE)</f>
        <v>#N/A</v>
      </c>
      <c r="L2963" s="4">
        <v>44530</v>
      </c>
      <c r="M2963" s="143">
        <v>60</v>
      </c>
      <c r="P2963" s="4" t="e">
        <f>VLOOKUP(H2963,Stock_list!A:Y,25,FALSE)</f>
        <v>#N/A</v>
      </c>
      <c r="T2963" s="144"/>
      <c r="U2963" s="145" t="e">
        <f>VLOOKUP(H2963,Stock_list!A:N,14,FALSE)</f>
        <v>#N/A</v>
      </c>
    </row>
    <row r="2964" spans="1:21" ht="16.5" customHeight="1">
      <c r="A2964" s="159" t="s">
        <v>265</v>
      </c>
      <c r="B2964" s="114" t="str">
        <f>VLOOKUP(A2964,'Data pick slip'!B:F,5,FALSE)</f>
        <v>KHJ-MC400-00</v>
      </c>
      <c r="F2964" s="157" t="s">
        <v>227</v>
      </c>
      <c r="H2964" s="138">
        <v>1354</v>
      </c>
      <c r="I2964" s="139" t="e">
        <f>VLOOKUP(H2964,Stock_list!A:R,18,FALSE)</f>
        <v>#N/A</v>
      </c>
      <c r="J2964" s="139" t="e">
        <f>VLOOKUP(H2964,Stock_list!A:S,17,FALSE)</f>
        <v>#N/A</v>
      </c>
      <c r="K2964" s="51" t="e">
        <f>VLOOKUP(H2964,Stock_list!A:T,16,FALSE)</f>
        <v>#N/A</v>
      </c>
      <c r="L2964" s="4">
        <v>44530</v>
      </c>
      <c r="M2964" s="143">
        <v>10</v>
      </c>
      <c r="P2964" s="4" t="e">
        <f>VLOOKUP(H2964,Stock_list!A:Y,25,FALSE)</f>
        <v>#N/A</v>
      </c>
      <c r="T2964" s="144"/>
      <c r="U2964" s="145" t="e">
        <f>VLOOKUP(H2964,Stock_list!A:N,14,FALSE)</f>
        <v>#N/A</v>
      </c>
    </row>
    <row r="2965" spans="1:21" ht="16.5" customHeight="1">
      <c r="A2965" s="159" t="s">
        <v>261</v>
      </c>
      <c r="B2965" s="114" t="str">
        <f>VLOOKUP(A2965,'Data pick slip'!B:F,5,FALSE)</f>
        <v>KHJ-MC100-00</v>
      </c>
      <c r="F2965" s="157" t="s">
        <v>227</v>
      </c>
      <c r="H2965" s="138">
        <v>1358</v>
      </c>
      <c r="I2965" s="139" t="e">
        <f>VLOOKUP(H2965,Stock_list!A:R,18,FALSE)</f>
        <v>#N/A</v>
      </c>
      <c r="J2965" s="139" t="e">
        <f>VLOOKUP(H2965,Stock_list!A:S,17,FALSE)</f>
        <v>#N/A</v>
      </c>
      <c r="K2965" s="51" t="e">
        <f>VLOOKUP(H2965,Stock_list!A:T,16,FALSE)</f>
        <v>#N/A</v>
      </c>
      <c r="L2965" s="4">
        <v>44488</v>
      </c>
      <c r="M2965" s="140">
        <v>120</v>
      </c>
      <c r="P2965" s="4" t="e">
        <f>VLOOKUP(H2965,Stock_list!A:Y,25,FALSE)</f>
        <v>#N/A</v>
      </c>
      <c r="Q2965" s="143"/>
      <c r="T2965" s="144"/>
      <c r="U2965" s="145" t="e">
        <f>VLOOKUP(H2965,Stock_list!A:N,14,FALSE)</f>
        <v>#N/A</v>
      </c>
    </row>
    <row r="2966" spans="1:21" ht="16.5" customHeight="1">
      <c r="A2966" s="159" t="s">
        <v>264</v>
      </c>
      <c r="B2966" s="114" t="str">
        <f>VLOOKUP(A2966,'Data pick slip'!B:F,5,FALSE)</f>
        <v>KHJ-MC200-00</v>
      </c>
      <c r="F2966" s="157" t="s">
        <v>227</v>
      </c>
      <c r="H2966" s="138">
        <v>1358</v>
      </c>
      <c r="I2966" s="139" t="e">
        <f>VLOOKUP(H2966,Stock_list!A:R,18,FALSE)</f>
        <v>#N/A</v>
      </c>
      <c r="J2966" s="139" t="e">
        <f>VLOOKUP(H2966,Stock_list!A:S,17,FALSE)</f>
        <v>#N/A</v>
      </c>
      <c r="K2966" s="51" t="e">
        <f>VLOOKUP(H2966,Stock_list!A:T,16,FALSE)</f>
        <v>#N/A</v>
      </c>
      <c r="L2966" s="4">
        <v>44488</v>
      </c>
      <c r="M2966" s="140">
        <v>20</v>
      </c>
      <c r="P2966" s="4" t="e">
        <f>VLOOKUP(H2966,Stock_list!A:Y,25,FALSE)</f>
        <v>#N/A</v>
      </c>
      <c r="Q2966" s="143"/>
      <c r="T2966" s="144"/>
      <c r="U2966" s="145" t="e">
        <f>VLOOKUP(H2966,Stock_list!A:N,14,FALSE)</f>
        <v>#N/A</v>
      </c>
    </row>
    <row r="2967" spans="1:21" ht="16.5" customHeight="1">
      <c r="A2967" s="159" t="s">
        <v>265</v>
      </c>
      <c r="B2967" s="114" t="str">
        <f>VLOOKUP(A2967,'Data pick slip'!B:F,5,FALSE)</f>
        <v>KHJ-MC400-00</v>
      </c>
      <c r="F2967" s="157" t="s">
        <v>227</v>
      </c>
      <c r="H2967" s="138">
        <v>1358</v>
      </c>
      <c r="I2967" s="139" t="e">
        <f>VLOOKUP(H2967,Stock_list!A:R,18,FALSE)</f>
        <v>#N/A</v>
      </c>
      <c r="J2967" s="139" t="e">
        <f>VLOOKUP(H2967,Stock_list!A:S,17,FALSE)</f>
        <v>#N/A</v>
      </c>
      <c r="K2967" s="51" t="e">
        <f>VLOOKUP(H2967,Stock_list!A:T,16,FALSE)</f>
        <v>#N/A</v>
      </c>
      <c r="L2967" s="4">
        <v>44488</v>
      </c>
      <c r="M2967" s="140">
        <v>4</v>
      </c>
      <c r="P2967" s="4" t="e">
        <f>VLOOKUP(H2967,Stock_list!A:Y,25,FALSE)</f>
        <v>#N/A</v>
      </c>
      <c r="Q2967" s="143"/>
      <c r="T2967" s="144"/>
      <c r="U2967" s="145" t="e">
        <f>VLOOKUP(H2967,Stock_list!A:N,14,FALSE)</f>
        <v>#N/A</v>
      </c>
    </row>
    <row r="2968" spans="1:21" ht="16.5" customHeight="1">
      <c r="A2968" s="159" t="s">
        <v>261</v>
      </c>
      <c r="B2968" s="114" t="str">
        <f>VLOOKUP(A2968,'Data pick slip'!B:F,5,FALSE)</f>
        <v>KHJ-MC100-00</v>
      </c>
      <c r="F2968" s="157" t="s">
        <v>227</v>
      </c>
      <c r="H2968" s="138">
        <v>1360</v>
      </c>
      <c r="I2968" s="139" t="e">
        <f>VLOOKUP(H2968,Stock_list!A:R,18,FALSE)</f>
        <v>#N/A</v>
      </c>
      <c r="J2968" s="139" t="e">
        <f>VLOOKUP(H2968,Stock_list!A:S,17,FALSE)</f>
        <v>#N/A</v>
      </c>
      <c r="K2968" s="51" t="e">
        <f>VLOOKUP(H2968,Stock_list!A:T,16,FALSE)</f>
        <v>#N/A</v>
      </c>
      <c r="L2968" s="4">
        <v>44568</v>
      </c>
      <c r="M2968" s="140">
        <v>30</v>
      </c>
      <c r="P2968" s="4" t="e">
        <f>VLOOKUP(H2968,Stock_list!A:Y,25,FALSE)</f>
        <v>#N/A</v>
      </c>
      <c r="Q2968" s="143"/>
      <c r="T2968" s="144"/>
      <c r="U2968" s="145" t="e">
        <f>VLOOKUP(H2968,Stock_list!A:N,14,FALSE)</f>
        <v>#N/A</v>
      </c>
    </row>
    <row r="2969" spans="1:21" ht="16.5" customHeight="1">
      <c r="A2969" s="159" t="s">
        <v>264</v>
      </c>
      <c r="B2969" s="114" t="str">
        <f>VLOOKUP(A2969,'Data pick slip'!B:F,5,FALSE)</f>
        <v>KHJ-MC200-00</v>
      </c>
      <c r="F2969" s="157" t="s">
        <v>227</v>
      </c>
      <c r="H2969" s="138">
        <v>1360</v>
      </c>
      <c r="I2969" s="139" t="e">
        <f>VLOOKUP(H2969,Stock_list!A:R,18,FALSE)</f>
        <v>#N/A</v>
      </c>
      <c r="J2969" s="139" t="e">
        <f>VLOOKUP(H2969,Stock_list!A:S,17,FALSE)</f>
        <v>#N/A</v>
      </c>
      <c r="K2969" s="51" t="e">
        <f>VLOOKUP(H2969,Stock_list!A:T,16,FALSE)</f>
        <v>#N/A</v>
      </c>
      <c r="L2969" s="4">
        <v>44568</v>
      </c>
      <c r="M2969" s="140">
        <v>4</v>
      </c>
      <c r="P2969" s="4" t="e">
        <f>VLOOKUP(H2969,Stock_list!A:Y,25,FALSE)</f>
        <v>#N/A</v>
      </c>
      <c r="Q2969" s="143"/>
      <c r="T2969" s="144"/>
      <c r="U2969" s="145" t="e">
        <f>VLOOKUP(H2969,Stock_list!A:N,14,FALSE)</f>
        <v>#N/A</v>
      </c>
    </row>
    <row r="2970" spans="1:21" ht="16.5" customHeight="1">
      <c r="A2970" s="159" t="s">
        <v>264</v>
      </c>
      <c r="B2970" s="114" t="str">
        <f>VLOOKUP(A2970,'Data pick slip'!B:F,5,FALSE)</f>
        <v>KHJ-MC200-00</v>
      </c>
      <c r="F2970" s="157" t="s">
        <v>270</v>
      </c>
      <c r="H2970" s="138">
        <v>1360</v>
      </c>
      <c r="I2970" s="139" t="e">
        <f>VLOOKUP(H2970,Stock_list!A:R,18,FALSE)</f>
        <v>#N/A</v>
      </c>
      <c r="J2970" s="139" t="e">
        <f>VLOOKUP(H2970,Stock_list!A:S,17,FALSE)</f>
        <v>#N/A</v>
      </c>
      <c r="K2970" s="51" t="e">
        <f>VLOOKUP(H2970,Stock_list!A:T,16,FALSE)</f>
        <v>#N/A</v>
      </c>
      <c r="L2970" s="4">
        <v>44435</v>
      </c>
      <c r="O2970" s="132">
        <f>4-4</f>
        <v>0</v>
      </c>
      <c r="P2970" s="4" t="e">
        <f>VLOOKUP(H2970,Stock_list!A:Y,25,FALSE)</f>
        <v>#N/A</v>
      </c>
      <c r="Q2970" s="143"/>
      <c r="T2970" s="144"/>
      <c r="U2970" s="145" t="e">
        <f>VLOOKUP(H2970,Stock_list!A:N,14,FALSE)</f>
        <v>#N/A</v>
      </c>
    </row>
    <row r="2971" spans="1:21" ht="16.5" customHeight="1">
      <c r="A2971" s="159" t="s">
        <v>264</v>
      </c>
      <c r="B2971" s="114" t="str">
        <f>VLOOKUP(A2971,'Data pick slip'!B:F,5,FALSE)</f>
        <v>KHJ-MC200-00</v>
      </c>
      <c r="F2971" s="157" t="s">
        <v>227</v>
      </c>
      <c r="H2971" s="138">
        <v>1351</v>
      </c>
      <c r="I2971" s="139" t="e">
        <f>VLOOKUP(H2971,Stock_list!A:R,18,FALSE)</f>
        <v>#N/A</v>
      </c>
      <c r="J2971" s="139" t="e">
        <f>VLOOKUP(H2971,Stock_list!A:S,17,FALSE)</f>
        <v>#N/A</v>
      </c>
      <c r="K2971" s="51" t="e">
        <f>VLOOKUP(H2971,Stock_list!A:T,16,FALSE)</f>
        <v>#N/A</v>
      </c>
      <c r="L2971" s="4">
        <v>44354</v>
      </c>
      <c r="M2971" s="132">
        <v>3</v>
      </c>
      <c r="P2971" s="4" t="e">
        <f>VLOOKUP(H2971,Stock_list!A:Y,25,FALSE)</f>
        <v>#N/A</v>
      </c>
      <c r="Q2971" s="143"/>
      <c r="T2971" s="144"/>
      <c r="U2971" s="145" t="e">
        <f>VLOOKUP(H2971,Stock_list!A:N,14,FALSE)</f>
        <v>#N/A</v>
      </c>
    </row>
    <row r="2972" spans="1:21" ht="16.5" customHeight="1">
      <c r="A2972" s="159" t="s">
        <v>261</v>
      </c>
      <c r="B2972" s="114" t="str">
        <f>VLOOKUP(A2972,'Data pick slip'!B:F,5,FALSE)</f>
        <v>KHJ-MC100-00</v>
      </c>
      <c r="F2972" s="157" t="s">
        <v>270</v>
      </c>
      <c r="I2972" s="139" t="s">
        <v>611</v>
      </c>
      <c r="J2972" s="267" t="s">
        <v>953</v>
      </c>
      <c r="K2972" s="51" t="s">
        <v>225</v>
      </c>
      <c r="L2972" s="4">
        <v>44327</v>
      </c>
      <c r="M2972" s="140">
        <v>40</v>
      </c>
      <c r="P2972" s="4" t="s">
        <v>214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264</v>
      </c>
      <c r="B2973" s="114" t="str">
        <f>VLOOKUP(A2973,'Data pick slip'!B:F,5,FALSE)</f>
        <v>KHJ-MC200-00</v>
      </c>
      <c r="F2973" s="157" t="s">
        <v>270</v>
      </c>
      <c r="I2973" s="139" t="s">
        <v>611</v>
      </c>
      <c r="J2973" s="267" t="s">
        <v>953</v>
      </c>
      <c r="K2973" s="51" t="s">
        <v>225</v>
      </c>
      <c r="L2973" s="4">
        <v>44327</v>
      </c>
      <c r="M2973" s="140">
        <v>19</v>
      </c>
      <c r="P2973" s="4" t="s">
        <v>214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266</v>
      </c>
      <c r="B2974" s="114" t="str">
        <f>VLOOKUP(A2974,'Data pick slip'!B:F,5,FALSE)</f>
        <v>KHJ-MC500-00</v>
      </c>
      <c r="F2974" s="157" t="s">
        <v>270</v>
      </c>
      <c r="I2974" s="139" t="s">
        <v>611</v>
      </c>
      <c r="J2974" s="267" t="s">
        <v>953</v>
      </c>
      <c r="K2974" s="51" t="s">
        <v>225</v>
      </c>
      <c r="L2974" s="4">
        <v>44327</v>
      </c>
      <c r="M2974" s="140">
        <v>1</v>
      </c>
      <c r="P2974" s="4" t="s">
        <v>214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285</v>
      </c>
      <c r="B2975" s="114" t="str">
        <f>VLOOKUP(A2975,'Data pick slip'!B:F,5,FALSE)</f>
        <v>KHJ-MC100-00</v>
      </c>
      <c r="F2975" s="157" t="s">
        <v>227</v>
      </c>
      <c r="I2975" s="269" t="s">
        <v>931</v>
      </c>
      <c r="J2975" s="139" t="s">
        <v>954</v>
      </c>
      <c r="K2975" s="51" t="s">
        <v>225</v>
      </c>
      <c r="L2975" s="4">
        <v>44322</v>
      </c>
      <c r="M2975" s="140">
        <v>200</v>
      </c>
      <c r="P2975" s="4" t="s">
        <v>214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264</v>
      </c>
      <c r="B2976" s="114" t="str">
        <f>VLOOKUP(A2976,'Data pick slip'!B:F,5,FALSE)</f>
        <v>KHJ-MC200-00</v>
      </c>
      <c r="F2976" s="157" t="s">
        <v>227</v>
      </c>
      <c r="I2976" s="269" t="s">
        <v>931</v>
      </c>
      <c r="J2976" s="139" t="s">
        <v>954</v>
      </c>
      <c r="K2976" s="51" t="s">
        <v>225</v>
      </c>
      <c r="L2976" s="4">
        <v>44322</v>
      </c>
      <c r="M2976" s="140">
        <v>50</v>
      </c>
      <c r="P2976" s="4" t="s">
        <v>214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265</v>
      </c>
      <c r="B2977" s="114" t="str">
        <f>VLOOKUP(A2977,'Data pick slip'!B:F,5,FALSE)</f>
        <v>KHJ-MC400-00</v>
      </c>
      <c r="F2977" s="157" t="s">
        <v>227</v>
      </c>
      <c r="I2977" s="269" t="s">
        <v>931</v>
      </c>
      <c r="J2977" s="139" t="s">
        <v>954</v>
      </c>
      <c r="K2977" s="51" t="s">
        <v>225</v>
      </c>
      <c r="L2977" s="4">
        <v>44322</v>
      </c>
      <c r="M2977" s="140">
        <v>10</v>
      </c>
      <c r="P2977" s="4" t="s">
        <v>214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266</v>
      </c>
      <c r="B2978" s="114" t="str">
        <f>VLOOKUP(A2978,'Data pick slip'!B:F,5,FALSE)</f>
        <v>KHJ-MC500-00</v>
      </c>
      <c r="F2978" s="157" t="s">
        <v>227</v>
      </c>
      <c r="I2978" s="269" t="s">
        <v>931</v>
      </c>
      <c r="J2978" s="139" t="s">
        <v>954</v>
      </c>
      <c r="K2978" s="51" t="s">
        <v>225</v>
      </c>
      <c r="L2978" s="4">
        <v>44322</v>
      </c>
      <c r="M2978" s="140">
        <v>5</v>
      </c>
      <c r="P2978" s="4" t="s">
        <v>214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267</v>
      </c>
      <c r="B2979" s="114" t="str">
        <f>VLOOKUP(A2979,'Data pick slip'!B:F,5,FALSE)</f>
        <v>KHJ-MC600-00</v>
      </c>
      <c r="F2979" s="157" t="s">
        <v>227</v>
      </c>
      <c r="I2979" s="269" t="s">
        <v>931</v>
      </c>
      <c r="J2979" s="139" t="s">
        <v>954</v>
      </c>
      <c r="K2979" s="51" t="s">
        <v>225</v>
      </c>
      <c r="L2979" s="4">
        <v>44322</v>
      </c>
      <c r="M2979" s="140">
        <v>5</v>
      </c>
      <c r="P2979" s="4" t="s">
        <v>214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268</v>
      </c>
      <c r="B2980" s="114" t="str">
        <f>VLOOKUP(A2980,'Data pick slip'!B:F,5,FALSE)</f>
        <v>KHJ-MC700-00</v>
      </c>
      <c r="F2980" s="157" t="s">
        <v>227</v>
      </c>
      <c r="I2980" s="269" t="s">
        <v>931</v>
      </c>
      <c r="J2980" s="139" t="s">
        <v>954</v>
      </c>
      <c r="K2980" s="51" t="s">
        <v>225</v>
      </c>
      <c r="L2980" s="4">
        <v>44322</v>
      </c>
      <c r="M2980" s="140">
        <v>2</v>
      </c>
      <c r="P2980" s="4" t="s">
        <v>214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261</v>
      </c>
      <c r="B2981" s="114" t="str">
        <f>VLOOKUP(A2981,'Data pick slip'!B:F,5,FALSE)</f>
        <v>KHJ-MC100-00</v>
      </c>
      <c r="F2981" s="157" t="s">
        <v>227</v>
      </c>
      <c r="I2981" s="269" t="s">
        <v>931</v>
      </c>
      <c r="J2981" s="139" t="s">
        <v>955</v>
      </c>
      <c r="K2981" s="51" t="s">
        <v>225</v>
      </c>
      <c r="L2981" s="4">
        <v>44327</v>
      </c>
      <c r="M2981" s="140">
        <v>100</v>
      </c>
      <c r="P2981" s="4" t="s">
        <v>214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264</v>
      </c>
      <c r="B2982" s="114" t="str">
        <f>VLOOKUP(A2982,'Data pick slip'!B:F,5,FALSE)</f>
        <v>KHJ-MC200-00</v>
      </c>
      <c r="F2982" s="157" t="s">
        <v>227</v>
      </c>
      <c r="I2982" s="269" t="s">
        <v>931</v>
      </c>
      <c r="J2982" s="139" t="s">
        <v>955</v>
      </c>
      <c r="K2982" s="51" t="s">
        <v>225</v>
      </c>
      <c r="L2982" s="4">
        <v>44327</v>
      </c>
      <c r="M2982" s="140">
        <v>30</v>
      </c>
      <c r="P2982" s="4" t="s">
        <v>214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268</v>
      </c>
      <c r="B2983" s="114" t="str">
        <f>VLOOKUP(A2983,'Data pick slip'!B:F,5,FALSE)</f>
        <v>KHJ-MC700-00</v>
      </c>
      <c r="F2983" s="157" t="s">
        <v>227</v>
      </c>
      <c r="I2983" s="269" t="s">
        <v>931</v>
      </c>
      <c r="J2983" s="139" t="s">
        <v>955</v>
      </c>
      <c r="K2983" s="51" t="s">
        <v>225</v>
      </c>
      <c r="L2983" s="4">
        <v>44327</v>
      </c>
      <c r="M2983" s="140">
        <v>3</v>
      </c>
      <c r="P2983" s="4" t="s">
        <v>214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269</v>
      </c>
      <c r="B2984" s="114" t="str">
        <f>VLOOKUP(A2984,'Data pick slip'!B:F,5,FALSE)</f>
        <v>KHJ-MC800-00</v>
      </c>
      <c r="F2984" s="157" t="s">
        <v>227</v>
      </c>
      <c r="I2984" s="269" t="s">
        <v>931</v>
      </c>
      <c r="J2984" s="139" t="s">
        <v>955</v>
      </c>
      <c r="K2984" s="51" t="s">
        <v>225</v>
      </c>
      <c r="L2984" s="4">
        <v>44327</v>
      </c>
      <c r="M2984" s="140">
        <v>1</v>
      </c>
      <c r="P2984" s="4" t="s">
        <v>214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261</v>
      </c>
      <c r="B2985" s="114" t="str">
        <f>VLOOKUP(A2985,'Data pick slip'!B:F,5,FALSE)</f>
        <v>KHJ-MC100-00</v>
      </c>
      <c r="F2985" s="157" t="s">
        <v>270</v>
      </c>
      <c r="H2985" s="138">
        <v>1365</v>
      </c>
      <c r="I2985" s="139" t="e">
        <f>VLOOKUP(H2985,Stock_list!A:R,18,FALSE)</f>
        <v>#N/A</v>
      </c>
      <c r="J2985" s="139" t="e">
        <f>VLOOKUP(H2985,Stock_list!A:S,17,FALSE)</f>
        <v>#N/A</v>
      </c>
      <c r="K2985" s="51" t="e">
        <f>VLOOKUP(H2985,Stock_list!A:T,16,FALSE)</f>
        <v>#N/A</v>
      </c>
      <c r="L2985" s="4">
        <v>44337</v>
      </c>
      <c r="M2985" s="140">
        <v>30</v>
      </c>
      <c r="P2985" s="4" t="e">
        <f>VLOOKUP(H2985,Stock_list!A:Y,25,FALSE)</f>
        <v>#N/A</v>
      </c>
      <c r="Q2985" s="143"/>
      <c r="T2985" s="144"/>
      <c r="U2985" s="145" t="e">
        <f>VLOOKUP(H2985,Stock_list!A:N,14,FALSE)</f>
        <v>#N/A</v>
      </c>
    </row>
    <row r="2986" spans="1:21" ht="16.5" customHeight="1">
      <c r="A2986" s="159" t="s">
        <v>261</v>
      </c>
      <c r="B2986" s="114" t="str">
        <f>VLOOKUP(A2986,'Data pick slip'!B:F,5,FALSE)</f>
        <v>KHJ-MC100-00</v>
      </c>
      <c r="F2986" s="157" t="s">
        <v>227</v>
      </c>
      <c r="H2986" s="138">
        <v>1366</v>
      </c>
      <c r="I2986" s="139" t="e">
        <f>VLOOKUP(H2986,Stock_list!A:R,18,FALSE)</f>
        <v>#N/A</v>
      </c>
      <c r="J2986" s="139" t="e">
        <f>VLOOKUP(H2986,Stock_list!A:S,17,FALSE)</f>
        <v>#N/A</v>
      </c>
      <c r="K2986" s="51" t="e">
        <f>VLOOKUP(H2986,Stock_list!A:T,16,FALSE)</f>
        <v>#N/A</v>
      </c>
      <c r="L2986" s="4">
        <v>44335</v>
      </c>
      <c r="M2986" s="140">
        <v>50</v>
      </c>
      <c r="P2986" s="4" t="s">
        <v>214</v>
      </c>
      <c r="Q2986" s="143"/>
      <c r="T2986" s="144"/>
      <c r="U2986" s="145" t="e">
        <f>VLOOKUP(H2986,Stock_list!A:N,14,FALSE)</f>
        <v>#N/A</v>
      </c>
    </row>
    <row r="2987" spans="1:21" ht="16.5" customHeight="1">
      <c r="A2987" s="159" t="s">
        <v>261</v>
      </c>
      <c r="B2987" s="114" t="str">
        <f>VLOOKUP(A2987,'Data pick slip'!B:F,5,FALSE)</f>
        <v>KHJ-MC100-00</v>
      </c>
      <c r="F2987" s="157" t="s">
        <v>270</v>
      </c>
      <c r="I2987" s="139" t="s">
        <v>611</v>
      </c>
      <c r="J2987" s="267" t="s">
        <v>956</v>
      </c>
      <c r="K2987" s="51" t="s">
        <v>225</v>
      </c>
      <c r="L2987" s="4">
        <v>44327</v>
      </c>
      <c r="M2987" s="140">
        <v>15</v>
      </c>
      <c r="P2987" s="4" t="s">
        <v>214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285</v>
      </c>
      <c r="B2988" s="114" t="str">
        <f>VLOOKUP(A2988,'Data pick slip'!B:F,5,FALSE)</f>
        <v>KHJ-MC100-00</v>
      </c>
      <c r="F2988" s="157" t="s">
        <v>227</v>
      </c>
      <c r="H2988" s="138">
        <v>1369</v>
      </c>
      <c r="I2988" s="139" t="e">
        <f>VLOOKUP(H2988,Stock_list!A:R,18,FALSE)</f>
        <v>#N/A</v>
      </c>
      <c r="J2988" s="139" t="e">
        <f>VLOOKUP(H2988,Stock_list!A:S,17,FALSE)</f>
        <v>#N/A</v>
      </c>
      <c r="K2988" s="51" t="e">
        <f>VLOOKUP(H2988,Stock_list!A:T,16,FALSE)</f>
        <v>#N/A</v>
      </c>
      <c r="L2988" s="4">
        <v>44363</v>
      </c>
      <c r="M2988" s="132">
        <v>20</v>
      </c>
      <c r="N2988" s="146"/>
      <c r="P2988" s="4" t="e">
        <f>VLOOKUP(H2988,Stock_list!A:Y,25,FALSE)</f>
        <v>#N/A</v>
      </c>
      <c r="Q2988" s="143"/>
      <c r="T2988" s="144"/>
      <c r="U2988" s="145" t="e">
        <f>VLOOKUP(H2988,Stock_list!A:N,14,FALSE)</f>
        <v>#N/A</v>
      </c>
    </row>
    <row r="2989" spans="1:21" ht="16.5" customHeight="1">
      <c r="A2989" s="159" t="s">
        <v>264</v>
      </c>
      <c r="B2989" s="114" t="str">
        <f>VLOOKUP(A2989,'Data pick slip'!B:F,5,FALSE)</f>
        <v>KHJ-MC200-00</v>
      </c>
      <c r="F2989" s="157" t="s">
        <v>227</v>
      </c>
      <c r="H2989" s="138">
        <v>1369</v>
      </c>
      <c r="I2989" s="139" t="e">
        <f>VLOOKUP(H2989,Stock_list!A:R,18,FALSE)</f>
        <v>#N/A</v>
      </c>
      <c r="J2989" s="139" t="e">
        <f>VLOOKUP(H2989,Stock_list!A:S,17,FALSE)</f>
        <v>#N/A</v>
      </c>
      <c r="K2989" s="51" t="e">
        <f>VLOOKUP(H2989,Stock_list!A:T,16,FALSE)</f>
        <v>#N/A</v>
      </c>
      <c r="L2989" s="4">
        <v>44363</v>
      </c>
      <c r="M2989" s="132">
        <v>5</v>
      </c>
      <c r="N2989" s="146"/>
      <c r="P2989" s="4" t="e">
        <f>VLOOKUP(H2989,Stock_list!A:Y,25,FALSE)</f>
        <v>#N/A</v>
      </c>
      <c r="Q2989" s="143"/>
      <c r="T2989" s="144"/>
      <c r="U2989" s="145" t="e">
        <f>VLOOKUP(H2989,Stock_list!A:N,14,FALSE)</f>
        <v>#N/A</v>
      </c>
    </row>
    <row r="2990" spans="1:21" ht="16.5" customHeight="1">
      <c r="A2990" s="159" t="s">
        <v>265</v>
      </c>
      <c r="B2990" s="114" t="str">
        <f>VLOOKUP(A2990,'Data pick slip'!B:F,5,FALSE)</f>
        <v>KHJ-MC400-00</v>
      </c>
      <c r="F2990" s="157" t="s">
        <v>227</v>
      </c>
      <c r="H2990" s="138">
        <v>1369</v>
      </c>
      <c r="I2990" s="139" t="e">
        <f>VLOOKUP(H2990,Stock_list!A:R,18,FALSE)</f>
        <v>#N/A</v>
      </c>
      <c r="J2990" s="139" t="e">
        <f>VLOOKUP(H2990,Stock_list!A:S,17,FALSE)</f>
        <v>#N/A</v>
      </c>
      <c r="K2990" s="51" t="e">
        <f>VLOOKUP(H2990,Stock_list!A:T,16,FALSE)</f>
        <v>#N/A</v>
      </c>
      <c r="L2990" s="4">
        <v>44363</v>
      </c>
      <c r="M2990" s="132">
        <v>2</v>
      </c>
      <c r="N2990" s="146"/>
      <c r="P2990" s="4" t="e">
        <f>VLOOKUP(H2990,Stock_list!A:Y,25,FALSE)</f>
        <v>#N/A</v>
      </c>
      <c r="Q2990" s="143"/>
      <c r="T2990" s="144"/>
      <c r="U2990" s="145" t="e">
        <f>VLOOKUP(H2990,Stock_list!A:N,14,FALSE)</f>
        <v>#N/A</v>
      </c>
    </row>
    <row r="2991" spans="1:21" ht="16.5" customHeight="1">
      <c r="A2991" s="159" t="s">
        <v>285</v>
      </c>
      <c r="B2991" s="114" t="str">
        <f>VLOOKUP(A2991,'Data pick slip'!B:F,5,FALSE)</f>
        <v>KHJ-MC100-00</v>
      </c>
      <c r="F2991" s="157" t="s">
        <v>270</v>
      </c>
      <c r="H2991" s="138">
        <v>1369</v>
      </c>
      <c r="I2991" s="139" t="e">
        <f>VLOOKUP(H2991,Stock_list!A:R,18,FALSE)</f>
        <v>#N/A</v>
      </c>
      <c r="J2991" s="139" t="e">
        <f>VLOOKUP(H2991,Stock_list!A:S,17,FALSE)</f>
        <v>#N/A</v>
      </c>
      <c r="K2991" s="51" t="e">
        <f>VLOOKUP(H2991,Stock_list!A:T,16,FALSE)</f>
        <v>#N/A</v>
      </c>
      <c r="L2991" s="4">
        <v>44377</v>
      </c>
      <c r="O2991" s="132">
        <f>10-10</f>
        <v>0</v>
      </c>
      <c r="P2991" s="4" t="e">
        <f>VLOOKUP(H2991,Stock_list!A:Y,25,FALSE)</f>
        <v>#N/A</v>
      </c>
      <c r="Q2991" s="143"/>
      <c r="T2991" s="144"/>
      <c r="U2991" s="145" t="e">
        <f>VLOOKUP(H2991,Stock_list!A:N,14,FALSE)</f>
        <v>#N/A</v>
      </c>
    </row>
    <row r="2992" spans="1:21" ht="16.5" customHeight="1">
      <c r="A2992" s="159" t="s">
        <v>285</v>
      </c>
      <c r="B2992" s="114" t="str">
        <f>VLOOKUP(A2992,'Data pick slip'!B:F,5,FALSE)</f>
        <v>KHJ-MC100-00</v>
      </c>
      <c r="F2992" s="157" t="s">
        <v>227</v>
      </c>
      <c r="H2992" s="138">
        <v>1369</v>
      </c>
      <c r="I2992" s="139" t="e">
        <f>VLOOKUP(H2992,Stock_list!A:R,18,FALSE)</f>
        <v>#N/A</v>
      </c>
      <c r="J2992" s="139" t="e">
        <f>VLOOKUP(H2992,Stock_list!A:S,17,FALSE)</f>
        <v>#N/A</v>
      </c>
      <c r="K2992" s="51" t="e">
        <f>VLOOKUP(H2992,Stock_list!A:T,16,FALSE)</f>
        <v>#N/A</v>
      </c>
      <c r="L2992" s="4">
        <v>44648</v>
      </c>
      <c r="M2992" s="140">
        <v>30</v>
      </c>
      <c r="P2992" s="4" t="e">
        <f>VLOOKUP(H2992,Stock_list!A:Y,25,FALSE)</f>
        <v>#N/A</v>
      </c>
      <c r="Q2992" s="143"/>
      <c r="T2992" s="144"/>
      <c r="U2992" s="145" t="e">
        <f>VLOOKUP(H2992,Stock_list!A:N,14,FALSE)</f>
        <v>#N/A</v>
      </c>
    </row>
    <row r="2993" spans="1:21" ht="16.5" customHeight="1">
      <c r="A2993" s="159" t="s">
        <v>267</v>
      </c>
      <c r="B2993" s="114" t="str">
        <f>VLOOKUP(A2993,'Data pick slip'!B:F,5,FALSE)</f>
        <v>KHJ-MC600-00</v>
      </c>
      <c r="F2993" s="157" t="s">
        <v>270</v>
      </c>
      <c r="I2993" s="139" t="s">
        <v>611</v>
      </c>
      <c r="J2993" s="270" t="s">
        <v>957</v>
      </c>
      <c r="K2993" s="51" t="s">
        <v>225</v>
      </c>
      <c r="L2993" s="4">
        <v>44333</v>
      </c>
      <c r="M2993" s="140">
        <v>1</v>
      </c>
      <c r="P2993" s="4" t="s">
        <v>214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285</v>
      </c>
      <c r="B2994" s="114" t="str">
        <f>VLOOKUP(A2994,'Data pick slip'!B:F,5,FALSE)</f>
        <v>KHJ-MC100-00</v>
      </c>
      <c r="F2994" s="157" t="s">
        <v>227</v>
      </c>
      <c r="H2994" s="138">
        <v>1371</v>
      </c>
      <c r="I2994" s="139" t="e">
        <f>VLOOKUP(H2994,Stock_list!A:R,18,FALSE)</f>
        <v>#N/A</v>
      </c>
      <c r="J2994" s="139" t="e">
        <f>VLOOKUP(H2994,Stock_list!A:S,17,FALSE)</f>
        <v>#N/A</v>
      </c>
      <c r="K2994" s="51" t="e">
        <f>VLOOKUP(H2994,Stock_list!A:T,16,FALSE)</f>
        <v>#N/A</v>
      </c>
      <c r="L2994" s="4">
        <v>44645</v>
      </c>
      <c r="M2994" s="132">
        <v>30</v>
      </c>
      <c r="P2994" s="4" t="e">
        <f>VLOOKUP(H2994,Stock_list!A:Y,25,FALSE)</f>
        <v>#N/A</v>
      </c>
      <c r="Q2994" s="143"/>
      <c r="T2994" s="144"/>
      <c r="U2994" s="145" t="e">
        <f>VLOOKUP(H2994,Stock_list!A:N,14,FALSE)</f>
        <v>#N/A</v>
      </c>
    </row>
    <row r="2995" spans="1:21" ht="16.5" customHeight="1">
      <c r="A2995" s="159" t="s">
        <v>264</v>
      </c>
      <c r="B2995" s="114" t="str">
        <f>VLOOKUP(A2995,'Data pick slip'!B:F,5,FALSE)</f>
        <v>KHJ-MC200-00</v>
      </c>
      <c r="F2995" s="157" t="s">
        <v>227</v>
      </c>
      <c r="H2995" s="138">
        <v>1371</v>
      </c>
      <c r="I2995" s="139" t="e">
        <f>VLOOKUP(H2995,Stock_list!A:R,18,FALSE)</f>
        <v>#N/A</v>
      </c>
      <c r="J2995" s="139" t="e">
        <f>VLOOKUP(H2995,Stock_list!A:S,17,FALSE)</f>
        <v>#N/A</v>
      </c>
      <c r="K2995" s="51" t="e">
        <f>VLOOKUP(H2995,Stock_list!A:T,16,FALSE)</f>
        <v>#N/A</v>
      </c>
      <c r="L2995" s="4">
        <v>44645</v>
      </c>
      <c r="M2995" s="132">
        <v>2</v>
      </c>
      <c r="P2995" s="4" t="e">
        <f>VLOOKUP(H2995,Stock_list!A:Y,25,FALSE)</f>
        <v>#N/A</v>
      </c>
      <c r="Q2995" s="143"/>
      <c r="T2995" s="144"/>
      <c r="U2995" s="145" t="e">
        <f>VLOOKUP(H2995,Stock_list!A:N,14,FALSE)</f>
        <v>#N/A</v>
      </c>
    </row>
    <row r="2996" spans="1:21" ht="16.5" customHeight="1">
      <c r="A2996" s="159" t="s">
        <v>265</v>
      </c>
      <c r="B2996" s="114" t="str">
        <f>VLOOKUP(A2996,'Data pick slip'!B:F,5,FALSE)</f>
        <v>KHJ-MC400-00</v>
      </c>
      <c r="F2996" s="157" t="s">
        <v>227</v>
      </c>
      <c r="H2996" s="138">
        <v>1371</v>
      </c>
      <c r="I2996" s="139" t="e">
        <f>VLOOKUP(H2996,Stock_list!A:R,18,FALSE)</f>
        <v>#N/A</v>
      </c>
      <c r="J2996" s="139" t="e">
        <f>VLOOKUP(H2996,Stock_list!A:S,17,FALSE)</f>
        <v>#N/A</v>
      </c>
      <c r="K2996" s="51" t="e">
        <f>VLOOKUP(H2996,Stock_list!A:T,16,FALSE)</f>
        <v>#N/A</v>
      </c>
      <c r="L2996" s="4">
        <v>44645</v>
      </c>
      <c r="M2996" s="132">
        <v>2</v>
      </c>
      <c r="P2996" s="4" t="e">
        <f>VLOOKUP(H2996,Stock_list!A:Y,25,FALSE)</f>
        <v>#N/A</v>
      </c>
      <c r="Q2996" s="143"/>
      <c r="T2996" s="144"/>
      <c r="U2996" s="145" t="e">
        <f>VLOOKUP(H2996,Stock_list!A:N,14,FALSE)</f>
        <v>#N/A</v>
      </c>
    </row>
    <row r="2997" spans="1:21" ht="16.5" customHeight="1">
      <c r="A2997" s="159" t="s">
        <v>285</v>
      </c>
      <c r="B2997" s="114" t="str">
        <f>VLOOKUP(A2997,'Data pick slip'!B:F,5,FALSE)</f>
        <v>KHJ-MC100-00</v>
      </c>
      <c r="F2997" s="157" t="s">
        <v>227</v>
      </c>
      <c r="H2997" s="138">
        <v>1371</v>
      </c>
      <c r="I2997" s="139" t="e">
        <f>VLOOKUP(H2997,Stock_list!A:R,18,FALSE)</f>
        <v>#N/A</v>
      </c>
      <c r="J2997" s="139" t="e">
        <f>VLOOKUP(H2997,Stock_list!A:S,17,FALSE)</f>
        <v>#N/A</v>
      </c>
      <c r="K2997" s="51" t="e">
        <f>VLOOKUP(H2997,Stock_list!A:T,16,FALSE)</f>
        <v>#N/A</v>
      </c>
      <c r="L2997" s="4">
        <v>44512</v>
      </c>
      <c r="M2997" s="132">
        <v>20</v>
      </c>
      <c r="P2997" s="4" t="e">
        <f>VLOOKUP(H2997,Stock_list!A:Y,25,FALSE)</f>
        <v>#N/A</v>
      </c>
      <c r="Q2997" s="143"/>
      <c r="T2997" s="144"/>
      <c r="U2997" s="145" t="e">
        <f>VLOOKUP(H2997,Stock_list!A:N,14,FALSE)</f>
        <v>#N/A</v>
      </c>
    </row>
    <row r="2998" spans="1:21" ht="16.5" customHeight="1">
      <c r="A2998" s="159" t="s">
        <v>285</v>
      </c>
      <c r="B2998" s="114" t="str">
        <f>VLOOKUP(A2998,'Data pick slip'!B:F,5,FALSE)</f>
        <v>KHJ-MC100-00</v>
      </c>
      <c r="F2998" s="157" t="s">
        <v>227</v>
      </c>
      <c r="H2998" s="138">
        <v>1371</v>
      </c>
      <c r="I2998" s="139" t="e">
        <f>VLOOKUP(H2998,Stock_list!A:R,18,FALSE)</f>
        <v>#N/A</v>
      </c>
      <c r="J2998" s="139" t="e">
        <f>VLOOKUP(H2998,Stock_list!A:S,17,FALSE)</f>
        <v>#N/A</v>
      </c>
      <c r="K2998" s="51" t="e">
        <f>VLOOKUP(H2998,Stock_list!A:T,16,FALSE)</f>
        <v>#N/A</v>
      </c>
      <c r="L2998" s="4">
        <v>44512</v>
      </c>
      <c r="M2998" s="132">
        <v>20</v>
      </c>
      <c r="P2998" s="4" t="e">
        <f>VLOOKUP(H2998,Stock_list!A:Y,25,FALSE)</f>
        <v>#N/A</v>
      </c>
      <c r="Q2998" s="143"/>
      <c r="T2998" s="144"/>
      <c r="U2998" s="145" t="e">
        <f>VLOOKUP(H2998,Stock_list!A:N,14,FALSE)</f>
        <v>#N/A</v>
      </c>
    </row>
    <row r="2999" spans="1:21" ht="16.5" customHeight="1">
      <c r="A2999" s="159" t="s">
        <v>264</v>
      </c>
      <c r="B2999" s="114" t="str">
        <f>VLOOKUP(A2999,'Data pick slip'!B:F,5,FALSE)</f>
        <v>KHJ-MC200-00</v>
      </c>
      <c r="F2999" s="157" t="s">
        <v>227</v>
      </c>
      <c r="H2999" s="138">
        <v>1371</v>
      </c>
      <c r="I2999" s="139" t="e">
        <f>VLOOKUP(H2999,Stock_list!A:R,18,FALSE)</f>
        <v>#N/A</v>
      </c>
      <c r="J2999" s="139" t="e">
        <f>VLOOKUP(H2999,Stock_list!A:S,17,FALSE)</f>
        <v>#N/A</v>
      </c>
      <c r="K2999" s="51" t="e">
        <f>VLOOKUP(H2999,Stock_list!A:T,16,FALSE)</f>
        <v>#N/A</v>
      </c>
      <c r="L2999" s="4">
        <v>44512</v>
      </c>
      <c r="M2999" s="132">
        <v>8</v>
      </c>
      <c r="P2999" s="4" t="e">
        <f>VLOOKUP(H2999,Stock_list!A:Y,25,FALSE)</f>
        <v>#N/A</v>
      </c>
      <c r="Q2999" s="143"/>
      <c r="T2999" s="144"/>
      <c r="U2999" s="145" t="e">
        <f>VLOOKUP(H2999,Stock_list!A:N,14,FALSE)</f>
        <v>#N/A</v>
      </c>
    </row>
    <row r="3000" spans="1:21" ht="16.5" customHeight="1">
      <c r="A3000" s="159" t="s">
        <v>265</v>
      </c>
      <c r="B3000" s="114" t="str">
        <f>VLOOKUP(A3000,'Data pick slip'!B:F,5,FALSE)</f>
        <v>KHJ-MC400-00</v>
      </c>
      <c r="F3000" s="157" t="s">
        <v>227</v>
      </c>
      <c r="H3000" s="138">
        <v>1371</v>
      </c>
      <c r="I3000" s="139" t="e">
        <f>VLOOKUP(H3000,Stock_list!A:R,18,FALSE)</f>
        <v>#N/A</v>
      </c>
      <c r="J3000" s="139" t="e">
        <f>VLOOKUP(H3000,Stock_list!A:S,17,FALSE)</f>
        <v>#N/A</v>
      </c>
      <c r="K3000" s="51" t="e">
        <f>VLOOKUP(H3000,Stock_list!A:T,16,FALSE)</f>
        <v>#N/A</v>
      </c>
      <c r="L3000" s="4">
        <v>44512</v>
      </c>
      <c r="M3000" s="132">
        <v>2</v>
      </c>
      <c r="P3000" s="4" t="e">
        <f>VLOOKUP(H3000,Stock_list!A:Y,25,FALSE)</f>
        <v>#N/A</v>
      </c>
      <c r="Q3000" s="143"/>
      <c r="T3000" s="144"/>
      <c r="U3000" s="145" t="e">
        <f>VLOOKUP(H3000,Stock_list!A:N,14,FALSE)</f>
        <v>#N/A</v>
      </c>
    </row>
    <row r="3001" spans="1:21" ht="16.5" customHeight="1">
      <c r="A3001" s="159" t="s">
        <v>285</v>
      </c>
      <c r="B3001" s="114" t="str">
        <f>VLOOKUP(A3001,'Data pick slip'!B:F,5,FALSE)</f>
        <v>KHJ-MC100-00</v>
      </c>
      <c r="F3001" s="157" t="s">
        <v>270</v>
      </c>
      <c r="H3001" s="138">
        <v>1371</v>
      </c>
      <c r="I3001" s="139" t="e">
        <f>VLOOKUP(H3001,Stock_list!A:R,18,FALSE)</f>
        <v>#N/A</v>
      </c>
      <c r="J3001" s="139" t="e">
        <f>VLOOKUP(H3001,Stock_list!A:S,17,FALSE)</f>
        <v>#N/A</v>
      </c>
      <c r="K3001" s="51" t="e">
        <f>VLOOKUP(H3001,Stock_list!A:T,16,FALSE)</f>
        <v>#N/A</v>
      </c>
      <c r="L3001" s="4">
        <v>44512</v>
      </c>
      <c r="M3001" s="132"/>
      <c r="O3001" s="132">
        <f>20-20</f>
        <v>0</v>
      </c>
      <c r="P3001" s="4" t="e">
        <f>VLOOKUP(H3001,Stock_list!A:Y,25,FALSE)</f>
        <v>#N/A</v>
      </c>
      <c r="Q3001" s="143"/>
      <c r="T3001" s="144"/>
      <c r="U3001" s="145" t="e">
        <f>VLOOKUP(H3001,Stock_list!A:N,14,FALSE)</f>
        <v>#N/A</v>
      </c>
    </row>
    <row r="3002" spans="1:21" ht="16.5" customHeight="1">
      <c r="A3002" s="159" t="s">
        <v>264</v>
      </c>
      <c r="B3002" s="114" t="str">
        <f>VLOOKUP(A3002,'Data pick slip'!B:F,5,FALSE)</f>
        <v>KHJ-MC200-00</v>
      </c>
      <c r="F3002" s="157" t="s">
        <v>270</v>
      </c>
      <c r="H3002" s="138">
        <v>1371</v>
      </c>
      <c r="I3002" s="139" t="e">
        <f>VLOOKUP(H3002,Stock_list!A:R,18,FALSE)</f>
        <v>#N/A</v>
      </c>
      <c r="J3002" s="139" t="e">
        <f>VLOOKUP(H3002,Stock_list!A:S,17,FALSE)</f>
        <v>#N/A</v>
      </c>
      <c r="K3002" s="51" t="e">
        <f>VLOOKUP(H3002,Stock_list!A:T,16,FALSE)</f>
        <v>#N/A</v>
      </c>
      <c r="L3002" s="4">
        <v>44512</v>
      </c>
      <c r="M3002" s="132"/>
      <c r="O3002" s="132">
        <f>8-8</f>
        <v>0</v>
      </c>
      <c r="P3002" s="4" t="e">
        <f>VLOOKUP(H3002,Stock_list!A:Y,25,FALSE)</f>
        <v>#N/A</v>
      </c>
      <c r="Q3002" s="143"/>
      <c r="T3002" s="144"/>
      <c r="U3002" s="145" t="e">
        <f>VLOOKUP(H3002,Stock_list!A:N,14,FALSE)</f>
        <v>#N/A</v>
      </c>
    </row>
    <row r="3003" spans="1:21" ht="16.5" customHeight="1">
      <c r="A3003" s="159" t="s">
        <v>265</v>
      </c>
      <c r="B3003" s="114" t="str">
        <f>VLOOKUP(A3003,'Data pick slip'!B:F,5,FALSE)</f>
        <v>KHJ-MC400-00</v>
      </c>
      <c r="F3003" s="157" t="s">
        <v>270</v>
      </c>
      <c r="H3003" s="138">
        <v>1371</v>
      </c>
      <c r="I3003" s="139" t="e">
        <f>VLOOKUP(H3003,Stock_list!A:R,18,FALSE)</f>
        <v>#N/A</v>
      </c>
      <c r="J3003" s="139" t="e">
        <f>VLOOKUP(H3003,Stock_list!A:S,17,FALSE)</f>
        <v>#N/A</v>
      </c>
      <c r="K3003" s="51" t="e">
        <f>VLOOKUP(H3003,Stock_list!A:T,16,FALSE)</f>
        <v>#N/A</v>
      </c>
      <c r="L3003" s="4">
        <v>44512</v>
      </c>
      <c r="M3003" s="132"/>
      <c r="O3003" s="132">
        <f>2-2</f>
        <v>0</v>
      </c>
      <c r="P3003" s="4" t="e">
        <f>VLOOKUP(H3003,Stock_list!A:Y,25,FALSE)</f>
        <v>#N/A</v>
      </c>
      <c r="Q3003" s="143"/>
      <c r="T3003" s="144"/>
      <c r="U3003" s="145" t="e">
        <f>VLOOKUP(H3003,Stock_list!A:N,14,FALSE)</f>
        <v>#N/A</v>
      </c>
    </row>
    <row r="3004" spans="1:21" ht="16.5" customHeight="1">
      <c r="A3004" s="159" t="s">
        <v>285</v>
      </c>
      <c r="B3004" s="114" t="str">
        <f>VLOOKUP(A3004,'Data pick slip'!B:F,5,FALSE)</f>
        <v>KHJ-MC100-00</v>
      </c>
      <c r="F3004" s="157" t="s">
        <v>270</v>
      </c>
      <c r="H3004" s="138">
        <v>1371</v>
      </c>
      <c r="I3004" s="139" t="e">
        <f>VLOOKUP(H3004,Stock_list!A:R,18,FALSE)</f>
        <v>#N/A</v>
      </c>
      <c r="J3004" s="139" t="e">
        <f>VLOOKUP(H3004,Stock_list!A:S,17,FALSE)</f>
        <v>#N/A</v>
      </c>
      <c r="K3004" s="51" t="e">
        <f>VLOOKUP(H3004,Stock_list!A:T,16,FALSE)</f>
        <v>#N/A</v>
      </c>
      <c r="L3004" s="4">
        <v>44524</v>
      </c>
      <c r="M3004" s="132"/>
      <c r="N3004" s="146"/>
      <c r="O3004" s="132">
        <f>30-30</f>
        <v>0</v>
      </c>
      <c r="P3004" s="4" t="e">
        <f>VLOOKUP(H3004,Stock_list!A:Y,25,FALSE)</f>
        <v>#N/A</v>
      </c>
      <c r="Q3004" s="143"/>
      <c r="T3004" s="144"/>
      <c r="U3004" s="145" t="e">
        <f>VLOOKUP(H3004,Stock_list!A:N,14,FALSE)</f>
        <v>#N/A</v>
      </c>
    </row>
    <row r="3005" spans="1:21" ht="16.5" customHeight="1">
      <c r="A3005" s="159" t="s">
        <v>264</v>
      </c>
      <c r="B3005" s="114" t="str">
        <f>VLOOKUP(A3005,'Data pick slip'!B:F,5,FALSE)</f>
        <v>KHJ-MC200-00</v>
      </c>
      <c r="F3005" s="157" t="s">
        <v>270</v>
      </c>
      <c r="H3005" s="138">
        <v>1371</v>
      </c>
      <c r="I3005" s="139" t="e">
        <f>VLOOKUP(H3005,Stock_list!A:R,18,FALSE)</f>
        <v>#N/A</v>
      </c>
      <c r="J3005" s="139" t="e">
        <f>VLOOKUP(H3005,Stock_list!A:S,17,FALSE)</f>
        <v>#N/A</v>
      </c>
      <c r="K3005" s="51" t="e">
        <f>VLOOKUP(H3005,Stock_list!A:T,16,FALSE)</f>
        <v>#N/A</v>
      </c>
      <c r="L3005" s="4">
        <v>44524</v>
      </c>
      <c r="M3005" s="132"/>
      <c r="N3005" s="146"/>
      <c r="O3005" s="132">
        <f>2-2</f>
        <v>0</v>
      </c>
      <c r="P3005" s="4" t="e">
        <f>VLOOKUP(H3005,Stock_list!A:Y,25,FALSE)</f>
        <v>#N/A</v>
      </c>
      <c r="Q3005" s="143"/>
      <c r="T3005" s="144"/>
      <c r="U3005" s="145" t="e">
        <f>VLOOKUP(H3005,Stock_list!A:N,14,FALSE)</f>
        <v>#N/A</v>
      </c>
    </row>
    <row r="3006" spans="1:21" ht="16.5" customHeight="1">
      <c r="A3006" s="159" t="s">
        <v>265</v>
      </c>
      <c r="B3006" s="114" t="str">
        <f>VLOOKUP(A3006,'Data pick slip'!B:F,5,FALSE)</f>
        <v>KHJ-MC400-00</v>
      </c>
      <c r="F3006" s="157" t="s">
        <v>270</v>
      </c>
      <c r="H3006" s="138">
        <v>1371</v>
      </c>
      <c r="I3006" s="139" t="e">
        <f>VLOOKUP(H3006,Stock_list!A:R,18,FALSE)</f>
        <v>#N/A</v>
      </c>
      <c r="J3006" s="139" t="e">
        <f>VLOOKUP(H3006,Stock_list!A:S,17,FALSE)</f>
        <v>#N/A</v>
      </c>
      <c r="K3006" s="51" t="e">
        <f>VLOOKUP(H3006,Stock_list!A:T,16,FALSE)</f>
        <v>#N/A</v>
      </c>
      <c r="L3006" s="4">
        <v>44524</v>
      </c>
      <c r="M3006" s="132"/>
      <c r="N3006" s="146"/>
      <c r="O3006" s="132">
        <f>2-2</f>
        <v>0</v>
      </c>
      <c r="P3006" s="4" t="e">
        <f>VLOOKUP(H3006,Stock_list!A:Y,25,FALSE)</f>
        <v>#N/A</v>
      </c>
      <c r="Q3006" s="143"/>
      <c r="T3006" s="144"/>
      <c r="U3006" s="145" t="e">
        <f>VLOOKUP(H3006,Stock_list!A:N,14,FALSE)</f>
        <v>#N/A</v>
      </c>
    </row>
    <row r="3007" spans="1:21" ht="16.5" customHeight="1">
      <c r="A3007" s="159" t="s">
        <v>285</v>
      </c>
      <c r="B3007" s="114" t="str">
        <f>VLOOKUP(A3007,'Data pick slip'!B:F,5,FALSE)</f>
        <v>KHJ-MC100-00</v>
      </c>
      <c r="F3007" s="157" t="s">
        <v>227</v>
      </c>
      <c r="H3007" s="138">
        <v>1375</v>
      </c>
      <c r="I3007" s="139" t="e">
        <f>VLOOKUP(H3007,Stock_list!A:R,18,FALSE)</f>
        <v>#N/A</v>
      </c>
      <c r="J3007" s="139" t="e">
        <f>VLOOKUP(H3007,Stock_list!A:S,17,FALSE)</f>
        <v>#N/A</v>
      </c>
      <c r="K3007" s="51" t="e">
        <f>VLOOKUP(H3007,Stock_list!A:T,16,FALSE)</f>
        <v>#N/A</v>
      </c>
      <c r="L3007" s="4">
        <v>44358</v>
      </c>
      <c r="M3007" s="140">
        <v>25</v>
      </c>
      <c r="P3007" s="4" t="e">
        <f>VLOOKUP(H3007,Stock_list!A:Y,25,FALSE)</f>
        <v>#N/A</v>
      </c>
      <c r="Q3007" s="143"/>
      <c r="T3007" s="144"/>
      <c r="U3007" s="145" t="e">
        <f>VLOOKUP(H3007,Stock_list!A:N,14,FALSE)</f>
        <v>#N/A</v>
      </c>
    </row>
    <row r="3008" spans="1:21" ht="16.5" customHeight="1">
      <c r="A3008" s="159" t="s">
        <v>264</v>
      </c>
      <c r="B3008" s="114" t="str">
        <f>VLOOKUP(A3008,'Data pick slip'!B:F,5,FALSE)</f>
        <v>KHJ-MC200-00</v>
      </c>
      <c r="F3008" s="157" t="s">
        <v>227</v>
      </c>
      <c r="H3008" s="138">
        <v>1375</v>
      </c>
      <c r="I3008" s="139" t="e">
        <f>VLOOKUP(H3008,Stock_list!A:R,18,FALSE)</f>
        <v>#N/A</v>
      </c>
      <c r="J3008" s="139" t="e">
        <f>VLOOKUP(H3008,Stock_list!A:S,17,FALSE)</f>
        <v>#N/A</v>
      </c>
      <c r="K3008" s="51" t="e">
        <f>VLOOKUP(H3008,Stock_list!A:T,16,FALSE)</f>
        <v>#N/A</v>
      </c>
      <c r="L3008" s="4">
        <v>44358</v>
      </c>
      <c r="M3008" s="140">
        <v>5</v>
      </c>
      <c r="P3008" s="4" t="e">
        <f>VLOOKUP(H3008,Stock_list!A:Y,25,FALSE)</f>
        <v>#N/A</v>
      </c>
      <c r="Q3008" s="143"/>
      <c r="T3008" s="144"/>
      <c r="U3008" s="145" t="e">
        <f>VLOOKUP(H3008,Stock_list!A:N,14,FALSE)</f>
        <v>#N/A</v>
      </c>
    </row>
    <row r="3009" spans="1:21" ht="16.5" customHeight="1">
      <c r="A3009" s="159" t="s">
        <v>265</v>
      </c>
      <c r="B3009" s="114" t="str">
        <f>VLOOKUP(A3009,'Data pick slip'!B:F,5,FALSE)</f>
        <v>KHJ-MC400-00</v>
      </c>
      <c r="F3009" s="157" t="s">
        <v>227</v>
      </c>
      <c r="H3009" s="138">
        <v>1375</v>
      </c>
      <c r="I3009" s="139" t="e">
        <f>VLOOKUP(H3009,Stock_list!A:R,18,FALSE)</f>
        <v>#N/A</v>
      </c>
      <c r="J3009" s="139" t="e">
        <f>VLOOKUP(H3009,Stock_list!A:S,17,FALSE)</f>
        <v>#N/A</v>
      </c>
      <c r="K3009" s="51" t="e">
        <f>VLOOKUP(H3009,Stock_list!A:T,16,FALSE)</f>
        <v>#N/A</v>
      </c>
      <c r="L3009" s="4">
        <v>44358</v>
      </c>
      <c r="M3009" s="140">
        <v>1</v>
      </c>
      <c r="P3009" s="4" t="e">
        <f>VLOOKUP(H3009,Stock_list!A:Y,25,FALSE)</f>
        <v>#N/A</v>
      </c>
      <c r="Q3009" s="143"/>
      <c r="T3009" s="144"/>
      <c r="U3009" s="145" t="e">
        <f>VLOOKUP(H3009,Stock_list!A:N,14,FALSE)</f>
        <v>#N/A</v>
      </c>
    </row>
    <row r="3010" spans="1:21" ht="16.5" customHeight="1">
      <c r="A3010" s="159" t="s">
        <v>264</v>
      </c>
      <c r="B3010" s="114" t="str">
        <f>VLOOKUP(A3010,'Data pick slip'!B:F,5,FALSE)</f>
        <v>KHJ-MC200-00</v>
      </c>
      <c r="F3010" s="157" t="s">
        <v>270</v>
      </c>
      <c r="I3010" s="139" t="s">
        <v>611</v>
      </c>
      <c r="J3010" s="267" t="s">
        <v>958</v>
      </c>
      <c r="K3010" s="51" t="s">
        <v>225</v>
      </c>
      <c r="L3010" s="4">
        <v>44335</v>
      </c>
      <c r="M3010" s="140">
        <v>5</v>
      </c>
      <c r="P3010" s="4" t="s">
        <v>214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285</v>
      </c>
      <c r="B3011" s="114" t="str">
        <f>VLOOKUP(A3011,'Data pick slip'!B:F,5,FALSE)</f>
        <v>KHJ-MC100-00</v>
      </c>
      <c r="F3011" s="157" t="s">
        <v>227</v>
      </c>
      <c r="I3011" s="269" t="s">
        <v>931</v>
      </c>
      <c r="J3011" s="139" t="s">
        <v>959</v>
      </c>
      <c r="K3011" s="51" t="s">
        <v>225</v>
      </c>
      <c r="L3011" s="4">
        <v>44337</v>
      </c>
      <c r="M3011" s="171">
        <v>100</v>
      </c>
      <c r="P3011" s="4" t="s">
        <v>214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264</v>
      </c>
      <c r="B3012" s="114" t="str">
        <f>VLOOKUP(A3012,'Data pick slip'!B:F,5,FALSE)</f>
        <v>KHJ-MC200-00</v>
      </c>
      <c r="F3012" s="157" t="s">
        <v>227</v>
      </c>
      <c r="I3012" s="269" t="s">
        <v>931</v>
      </c>
      <c r="J3012" s="139" t="s">
        <v>959</v>
      </c>
      <c r="K3012" s="51" t="s">
        <v>225</v>
      </c>
      <c r="L3012" s="4">
        <v>44337</v>
      </c>
      <c r="M3012" s="171">
        <v>45</v>
      </c>
      <c r="P3012" s="4" t="s">
        <v>214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265</v>
      </c>
      <c r="B3013" s="114" t="str">
        <f>VLOOKUP(A3013,'Data pick slip'!B:F,5,FALSE)</f>
        <v>KHJ-MC400-00</v>
      </c>
      <c r="F3013" s="157" t="s">
        <v>227</v>
      </c>
      <c r="I3013" s="269" t="s">
        <v>931</v>
      </c>
      <c r="J3013" s="139" t="s">
        <v>959</v>
      </c>
      <c r="K3013" s="51" t="s">
        <v>225</v>
      </c>
      <c r="L3013" s="4">
        <v>44337</v>
      </c>
      <c r="M3013" s="171">
        <v>6</v>
      </c>
      <c r="P3013" s="4" t="s">
        <v>214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268</v>
      </c>
      <c r="B3014" s="114" t="str">
        <f>VLOOKUP(A3014,'Data pick slip'!B:F,5,FALSE)</f>
        <v>KHJ-MC700-00</v>
      </c>
      <c r="F3014" s="157" t="s">
        <v>227</v>
      </c>
      <c r="I3014" s="269" t="s">
        <v>931</v>
      </c>
      <c r="J3014" s="139" t="s">
        <v>959</v>
      </c>
      <c r="K3014" s="51" t="s">
        <v>225</v>
      </c>
      <c r="L3014" s="4">
        <v>44337</v>
      </c>
      <c r="M3014" s="171">
        <v>1</v>
      </c>
      <c r="P3014" s="4" t="s">
        <v>214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267</v>
      </c>
      <c r="B3015" s="114" t="str">
        <f>VLOOKUP(A3015,'Data pick slip'!B:F,5,FALSE)</f>
        <v>KHJ-MC600-00</v>
      </c>
      <c r="F3015" s="157" t="s">
        <v>270</v>
      </c>
      <c r="I3015" s="139" t="s">
        <v>617</v>
      </c>
      <c r="J3015" s="139" t="s">
        <v>960</v>
      </c>
      <c r="K3015" s="51" t="s">
        <v>225</v>
      </c>
      <c r="L3015" s="4">
        <v>44337</v>
      </c>
      <c r="M3015" s="140">
        <v>1</v>
      </c>
      <c r="P3015" s="4" t="s">
        <v>214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268</v>
      </c>
      <c r="B3016" s="114" t="str">
        <f>VLOOKUP(A3016,'Data pick slip'!B:F,5,FALSE)</f>
        <v>KHJ-MC700-00</v>
      </c>
      <c r="F3016" s="157" t="s">
        <v>270</v>
      </c>
      <c r="I3016" s="139" t="s">
        <v>617</v>
      </c>
      <c r="J3016" s="267" t="s">
        <v>961</v>
      </c>
      <c r="K3016" s="51" t="s">
        <v>225</v>
      </c>
      <c r="L3016" s="4">
        <v>44337</v>
      </c>
      <c r="M3016" s="140">
        <v>1</v>
      </c>
      <c r="P3016" s="4" t="s">
        <v>214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266</v>
      </c>
      <c r="B3017" s="114" t="str">
        <f>VLOOKUP(A3017,'Data pick slip'!B:F,5,FALSE)</f>
        <v>KHJ-MC500-00</v>
      </c>
      <c r="F3017" s="157" t="s">
        <v>270</v>
      </c>
      <c r="I3017" s="139" t="s">
        <v>617</v>
      </c>
      <c r="J3017" s="267" t="s">
        <v>962</v>
      </c>
      <c r="K3017" s="51" t="s">
        <v>225</v>
      </c>
      <c r="L3017" s="4">
        <v>44337</v>
      </c>
      <c r="M3017" s="140">
        <v>6</v>
      </c>
      <c r="P3017" s="4" t="s">
        <v>214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285</v>
      </c>
      <c r="B3018" s="114" t="str">
        <f>VLOOKUP(A3018,'Data pick slip'!B:F,5,FALSE)</f>
        <v>KHJ-MC100-00</v>
      </c>
      <c r="F3018" s="157" t="s">
        <v>227</v>
      </c>
      <c r="H3018" s="138">
        <v>1376</v>
      </c>
      <c r="I3018" s="139" t="e">
        <f>VLOOKUP(H3018,Stock_list!A:R,18,FALSE)</f>
        <v>#N/A</v>
      </c>
      <c r="J3018" s="139" t="e">
        <f>VLOOKUP(H3018,Stock_list!A:S,17,FALSE)</f>
        <v>#N/A</v>
      </c>
      <c r="K3018" s="51" t="e">
        <f>VLOOKUP(H3018,Stock_list!A:T,16,FALSE)</f>
        <v>#N/A</v>
      </c>
      <c r="L3018" s="4">
        <v>44568</v>
      </c>
      <c r="M3018" s="140">
        <v>20</v>
      </c>
      <c r="P3018" s="4" t="e">
        <f>VLOOKUP(H3018,Stock_list!A:Y,25,FALSE)</f>
        <v>#N/A</v>
      </c>
      <c r="Q3018" s="143"/>
      <c r="T3018" s="144"/>
      <c r="U3018" s="145" t="e">
        <f>VLOOKUP(H3018,Stock_list!A:N,14,FALSE)</f>
        <v>#N/A</v>
      </c>
    </row>
    <row r="3019" spans="1:21" ht="16.5" customHeight="1">
      <c r="A3019" s="159" t="s">
        <v>264</v>
      </c>
      <c r="B3019" s="114" t="str">
        <f>VLOOKUP(A3019,'Data pick slip'!B:F,5,FALSE)</f>
        <v>KHJ-MC200-00</v>
      </c>
      <c r="F3019" s="157" t="s">
        <v>227</v>
      </c>
      <c r="H3019" s="138">
        <v>1376</v>
      </c>
      <c r="I3019" s="139" t="e">
        <f>VLOOKUP(H3019,Stock_list!A:R,18,FALSE)</f>
        <v>#N/A</v>
      </c>
      <c r="J3019" s="139" t="e">
        <f>VLOOKUP(H3019,Stock_list!A:S,17,FALSE)</f>
        <v>#N/A</v>
      </c>
      <c r="K3019" s="51" t="e">
        <f>VLOOKUP(H3019,Stock_list!A:T,16,FALSE)</f>
        <v>#N/A</v>
      </c>
      <c r="L3019" s="4">
        <v>44568</v>
      </c>
      <c r="M3019" s="140">
        <v>5</v>
      </c>
      <c r="P3019" s="4" t="e">
        <f>VLOOKUP(H3019,Stock_list!A:Y,25,FALSE)</f>
        <v>#N/A</v>
      </c>
      <c r="Q3019" s="143"/>
      <c r="T3019" s="144"/>
      <c r="U3019" s="145" t="e">
        <f>VLOOKUP(H3019,Stock_list!A:N,14,FALSE)</f>
        <v>#N/A</v>
      </c>
    </row>
    <row r="3020" spans="1:21" ht="16.5" customHeight="1">
      <c r="A3020" s="159" t="s">
        <v>285</v>
      </c>
      <c r="B3020" s="114" t="str">
        <f>VLOOKUP(A3020,'Data pick slip'!B:F,5,FALSE)</f>
        <v>KHJ-MC100-00</v>
      </c>
      <c r="F3020" s="157" t="s">
        <v>227</v>
      </c>
      <c r="H3020" s="138">
        <v>1377</v>
      </c>
      <c r="I3020" s="139" t="e">
        <f>VLOOKUP(H3020,Stock_list!A:R,18,FALSE)</f>
        <v>#N/A</v>
      </c>
      <c r="J3020" s="139" t="e">
        <f>VLOOKUP(H3020,Stock_list!A:S,17,FALSE)</f>
        <v>#N/A</v>
      </c>
      <c r="K3020" s="51" t="e">
        <f>VLOOKUP(H3020,Stock_list!A:T,16,FALSE)</f>
        <v>#N/A</v>
      </c>
      <c r="L3020" s="287">
        <v>44530</v>
      </c>
      <c r="M3020" s="284">
        <v>20</v>
      </c>
      <c r="P3020" s="4" t="e">
        <f>VLOOKUP(H3020,Stock_list!A:Y,25,FALSE)</f>
        <v>#N/A</v>
      </c>
      <c r="Q3020" s="143"/>
      <c r="T3020" s="144"/>
      <c r="U3020" s="145" t="e">
        <f>VLOOKUP(H3020,Stock_list!A:N,14,FALSE)</f>
        <v>#N/A</v>
      </c>
    </row>
    <row r="3021" spans="1:21" ht="16.5" customHeight="1">
      <c r="A3021" s="159" t="s">
        <v>264</v>
      </c>
      <c r="B3021" s="114" t="str">
        <f>VLOOKUP(A3021,'Data pick slip'!B:F,5,FALSE)</f>
        <v>KHJ-MC200-00</v>
      </c>
      <c r="F3021" s="157" t="s">
        <v>227</v>
      </c>
      <c r="H3021" s="138">
        <v>1377</v>
      </c>
      <c r="I3021" s="139" t="e">
        <f>VLOOKUP(H3021,Stock_list!A:R,18,FALSE)</f>
        <v>#N/A</v>
      </c>
      <c r="J3021" s="139" t="e">
        <f>VLOOKUP(H3021,Stock_list!A:S,17,FALSE)</f>
        <v>#N/A</v>
      </c>
      <c r="K3021" s="259" t="e">
        <f>VLOOKUP(H3021,Stock_list!A:T,16,FALSE)</f>
        <v>#N/A</v>
      </c>
      <c r="L3021" s="287">
        <v>44530</v>
      </c>
      <c r="M3021" s="284">
        <v>20</v>
      </c>
      <c r="P3021" s="4" t="e">
        <f>VLOOKUP(H3021,Stock_list!A:Y,25,FALSE)</f>
        <v>#N/A</v>
      </c>
      <c r="Q3021" s="143"/>
      <c r="T3021" s="144"/>
      <c r="U3021" s="145" t="e">
        <f>VLOOKUP(H3021,Stock_list!A:N,14,FALSE)</f>
        <v>#N/A</v>
      </c>
    </row>
    <row r="3022" spans="1:21" ht="16.5" customHeight="1">
      <c r="A3022" s="159" t="s">
        <v>261</v>
      </c>
      <c r="B3022" s="114" t="str">
        <f>VLOOKUP(A3022,'Data pick slip'!B:F,5,FALSE)</f>
        <v>KHJ-MC100-00</v>
      </c>
      <c r="F3022" s="157" t="s">
        <v>227</v>
      </c>
      <c r="H3022" s="138">
        <v>1378</v>
      </c>
      <c r="I3022" s="139" t="e">
        <f>VLOOKUP(H3022,Stock_list!A:R,18,FALSE)</f>
        <v>#N/A</v>
      </c>
      <c r="J3022" s="139" t="e">
        <f>VLOOKUP(H3022,Stock_list!A:S,17,FALSE)</f>
        <v>#N/A</v>
      </c>
      <c r="K3022" s="51" t="e">
        <f>VLOOKUP(H3022,Stock_list!A:T,16,FALSE)</f>
        <v>#N/A</v>
      </c>
      <c r="L3022" s="4">
        <v>44370</v>
      </c>
      <c r="M3022" s="132">
        <v>40</v>
      </c>
      <c r="P3022" s="4" t="e">
        <f>VLOOKUP(H3022,Stock_list!A:Y,25,FALSE)</f>
        <v>#N/A</v>
      </c>
      <c r="Q3022" s="143"/>
      <c r="T3022" s="144"/>
      <c r="U3022" s="145" t="e">
        <f>VLOOKUP(H3022,Stock_list!A:N,14,FALSE)</f>
        <v>#N/A</v>
      </c>
    </row>
    <row r="3023" spans="1:21" ht="16.5" customHeight="1">
      <c r="A3023" s="159" t="s">
        <v>264</v>
      </c>
      <c r="B3023" s="114" t="str">
        <f>VLOOKUP(A3023,'Data pick slip'!B:F,5,FALSE)</f>
        <v>KHJ-MC200-00</v>
      </c>
      <c r="F3023" s="157" t="s">
        <v>227</v>
      </c>
      <c r="H3023" s="138">
        <v>1378</v>
      </c>
      <c r="I3023" s="139" t="e">
        <f>VLOOKUP(H3023,Stock_list!A:R,18,FALSE)</f>
        <v>#N/A</v>
      </c>
      <c r="J3023" s="139" t="e">
        <f>VLOOKUP(H3023,Stock_list!A:S,17,FALSE)</f>
        <v>#N/A</v>
      </c>
      <c r="K3023" s="51" t="e">
        <f>VLOOKUP(H3023,Stock_list!A:T,16,FALSE)</f>
        <v>#N/A</v>
      </c>
      <c r="L3023" s="4">
        <v>44370</v>
      </c>
      <c r="M3023" s="132">
        <v>8</v>
      </c>
      <c r="P3023" s="4" t="e">
        <f>VLOOKUP(H3023,Stock_list!A:Y,25,FALSE)</f>
        <v>#N/A</v>
      </c>
      <c r="Q3023" s="143"/>
      <c r="T3023" s="144"/>
      <c r="U3023" s="145" t="e">
        <f>VLOOKUP(H3023,Stock_list!A:N,14,FALSE)</f>
        <v>#N/A</v>
      </c>
    </row>
    <row r="3024" spans="1:21" ht="16.5" customHeight="1">
      <c r="A3024" s="159" t="s">
        <v>265</v>
      </c>
      <c r="B3024" s="114" t="str">
        <f>VLOOKUP(A3024,'Data pick slip'!B:F,5,FALSE)</f>
        <v>KHJ-MC400-00</v>
      </c>
      <c r="F3024" s="157" t="s">
        <v>227</v>
      </c>
      <c r="H3024" s="138">
        <v>1378</v>
      </c>
      <c r="I3024" s="139" t="e">
        <f>VLOOKUP(H3024,Stock_list!A:R,18,FALSE)</f>
        <v>#N/A</v>
      </c>
      <c r="J3024" s="139" t="e">
        <f>VLOOKUP(H3024,Stock_list!A:S,17,FALSE)</f>
        <v>#N/A</v>
      </c>
      <c r="K3024" s="51" t="e">
        <f>VLOOKUP(H3024,Stock_list!A:T,16,FALSE)</f>
        <v>#N/A</v>
      </c>
      <c r="L3024" s="4">
        <v>44370</v>
      </c>
      <c r="M3024" s="132">
        <v>2</v>
      </c>
      <c r="P3024" s="4" t="e">
        <f>VLOOKUP(H3024,Stock_list!A:Y,25,FALSE)</f>
        <v>#N/A</v>
      </c>
      <c r="Q3024" s="143"/>
      <c r="T3024" s="144"/>
      <c r="U3024" s="145" t="e">
        <f>VLOOKUP(H3024,Stock_list!A:N,14,FALSE)</f>
        <v>#N/A</v>
      </c>
    </row>
    <row r="3025" spans="1:21" ht="16.5" customHeight="1">
      <c r="A3025" s="159" t="s">
        <v>266</v>
      </c>
      <c r="B3025" s="114" t="str">
        <f>VLOOKUP(A3025,'Data pick slip'!B:F,5,FALSE)</f>
        <v>KHJ-MC500-00</v>
      </c>
      <c r="F3025" s="157" t="s">
        <v>227</v>
      </c>
      <c r="H3025" s="138">
        <v>1378</v>
      </c>
      <c r="I3025" s="139" t="e">
        <f>VLOOKUP(H3025,Stock_list!A:R,18,FALSE)</f>
        <v>#N/A</v>
      </c>
      <c r="J3025" s="139" t="e">
        <f>VLOOKUP(H3025,Stock_list!A:S,17,FALSE)</f>
        <v>#N/A</v>
      </c>
      <c r="K3025" s="51" t="e">
        <f>VLOOKUP(H3025,Stock_list!A:T,16,FALSE)</f>
        <v>#N/A</v>
      </c>
      <c r="L3025" s="4">
        <v>44370</v>
      </c>
      <c r="M3025" s="132">
        <v>1</v>
      </c>
      <c r="P3025" s="4" t="e">
        <f>VLOOKUP(H3025,Stock_list!A:Y,25,FALSE)</f>
        <v>#N/A</v>
      </c>
      <c r="Q3025" s="143"/>
      <c r="T3025" s="144"/>
      <c r="U3025" s="145" t="e">
        <f>VLOOKUP(H3025,Stock_list!A:N,14,FALSE)</f>
        <v>#N/A</v>
      </c>
    </row>
    <row r="3026" spans="1:21" ht="16.5" customHeight="1">
      <c r="A3026" s="159" t="s">
        <v>261</v>
      </c>
      <c r="B3026" s="114" t="str">
        <f>VLOOKUP(A3026,'Data pick slip'!B:F,5,FALSE)</f>
        <v>KHJ-MC100-00</v>
      </c>
      <c r="F3026" s="157" t="s">
        <v>227</v>
      </c>
      <c r="H3026" s="138">
        <v>1379</v>
      </c>
      <c r="I3026" s="139" t="e">
        <f>VLOOKUP(H3026,Stock_list!A:R,18,FALSE)</f>
        <v>#N/A</v>
      </c>
      <c r="J3026" s="139" t="e">
        <f>VLOOKUP(H3026,Stock_list!A:S,17,FALSE)</f>
        <v>#N/A</v>
      </c>
      <c r="K3026" s="51" t="e">
        <f>VLOOKUP(H3026,Stock_list!A:T,16,FALSE)</f>
        <v>#N/A</v>
      </c>
      <c r="L3026" s="4">
        <v>44425</v>
      </c>
      <c r="M3026" s="140">
        <v>20</v>
      </c>
      <c r="P3026" s="4" t="e">
        <f>VLOOKUP(H3026,Stock_list!A:Y,25,FALSE)</f>
        <v>#N/A</v>
      </c>
      <c r="Q3026" s="143"/>
      <c r="T3026" s="144"/>
      <c r="U3026" s="145" t="e">
        <f>VLOOKUP(H3026,Stock_list!A:N,14,FALSE)</f>
        <v>#N/A</v>
      </c>
    </row>
    <row r="3027" spans="1:21" ht="16.5" customHeight="1">
      <c r="A3027" s="159" t="s">
        <v>261</v>
      </c>
      <c r="B3027" s="114" t="str">
        <f>VLOOKUP(A3027,'Data pick slip'!B:F,5,FALSE)</f>
        <v>KHJ-MC100-00</v>
      </c>
      <c r="F3027" s="157" t="s">
        <v>227</v>
      </c>
      <c r="H3027" s="138">
        <v>1380</v>
      </c>
      <c r="I3027" s="139" t="e">
        <f>VLOOKUP(H3027,Stock_list!A:R,18,FALSE)</f>
        <v>#N/A</v>
      </c>
      <c r="J3027" s="139" t="e">
        <f>VLOOKUP(H3027,Stock_list!A:S,17,FALSE)</f>
        <v>#N/A</v>
      </c>
      <c r="K3027" s="51" t="e">
        <f>VLOOKUP(H3027,Stock_list!A:T,16,FALSE)</f>
        <v>#N/A</v>
      </c>
      <c r="L3027" s="4">
        <v>44672</v>
      </c>
      <c r="M3027" s="132">
        <v>30</v>
      </c>
      <c r="P3027" s="4" t="e">
        <f>VLOOKUP(H3027,Stock_list!A:Y,25,FALSE)</f>
        <v>#N/A</v>
      </c>
      <c r="Q3027" s="143"/>
      <c r="T3027" s="144"/>
      <c r="U3027" s="145" t="e">
        <f>VLOOKUP(H3027,Stock_list!A:N,14,FALSE)</f>
        <v>#N/A</v>
      </c>
    </row>
    <row r="3028" spans="1:21" ht="16.5" customHeight="1">
      <c r="A3028" s="159" t="s">
        <v>264</v>
      </c>
      <c r="B3028" s="114" t="str">
        <f>VLOOKUP(A3028,'Data pick slip'!B:F,5,FALSE)</f>
        <v>KHJ-MC200-00</v>
      </c>
      <c r="F3028" s="157" t="s">
        <v>227</v>
      </c>
      <c r="H3028" s="138">
        <v>1380</v>
      </c>
      <c r="I3028" s="139" t="e">
        <f>VLOOKUP(H3028,Stock_list!A:R,18,FALSE)</f>
        <v>#N/A</v>
      </c>
      <c r="J3028" s="139" t="e">
        <f>VLOOKUP(H3028,Stock_list!A:S,17,FALSE)</f>
        <v>#N/A</v>
      </c>
      <c r="K3028" s="51" t="e">
        <f>VLOOKUP(H3028,Stock_list!A:T,16,FALSE)</f>
        <v>#N/A</v>
      </c>
      <c r="L3028" s="4">
        <v>44672</v>
      </c>
      <c r="M3028" s="132">
        <v>4</v>
      </c>
      <c r="P3028" s="4" t="e">
        <f>VLOOKUP(H3028,Stock_list!A:Y,25,FALSE)</f>
        <v>#N/A</v>
      </c>
      <c r="Q3028" s="143"/>
      <c r="T3028" s="144"/>
      <c r="U3028" s="145" t="e">
        <f>VLOOKUP(H3028,Stock_list!A:N,14,FALSE)</f>
        <v>#N/A</v>
      </c>
    </row>
    <row r="3029" spans="1:21" ht="16.5" customHeight="1">
      <c r="A3029" s="159" t="s">
        <v>265</v>
      </c>
      <c r="B3029" s="114" t="str">
        <f>VLOOKUP(A3029,'Data pick slip'!B:F,5,FALSE)</f>
        <v>KHJ-MC400-00</v>
      </c>
      <c r="F3029" s="157" t="s">
        <v>227</v>
      </c>
      <c r="H3029" s="138">
        <v>1380</v>
      </c>
      <c r="I3029" s="139" t="e">
        <f>VLOOKUP(H3029,Stock_list!A:R,18,FALSE)</f>
        <v>#N/A</v>
      </c>
      <c r="J3029" s="139" t="e">
        <f>VLOOKUP(H3029,Stock_list!A:S,17,FALSE)</f>
        <v>#N/A</v>
      </c>
      <c r="K3029" s="51" t="e">
        <f>VLOOKUP(H3029,Stock_list!A:T,16,FALSE)</f>
        <v>#N/A</v>
      </c>
      <c r="L3029" s="4">
        <v>44672</v>
      </c>
      <c r="M3029" s="132">
        <v>1</v>
      </c>
      <c r="P3029" s="4" t="e">
        <f>VLOOKUP(H3029,Stock_list!A:Y,25,FALSE)</f>
        <v>#N/A</v>
      </c>
      <c r="Q3029" s="143"/>
      <c r="T3029" s="144"/>
      <c r="U3029" s="145" t="e">
        <f>VLOOKUP(H3029,Stock_list!A:N,14,FALSE)</f>
        <v>#N/A</v>
      </c>
    </row>
    <row r="3030" spans="1:21" ht="16.5" customHeight="1">
      <c r="A3030" s="159" t="s">
        <v>261</v>
      </c>
      <c r="B3030" s="114" t="str">
        <f>VLOOKUP(A3030,'Data pick slip'!B:F,5,FALSE)</f>
        <v>KHJ-MC100-00</v>
      </c>
      <c r="F3030" s="157" t="s">
        <v>227</v>
      </c>
      <c r="H3030" s="138">
        <v>1384</v>
      </c>
      <c r="I3030" s="139" t="e">
        <f>VLOOKUP(H3030,Stock_list!A:R,18,FALSE)</f>
        <v>#N/A</v>
      </c>
      <c r="J3030" s="139" t="e">
        <f>VLOOKUP(H3030,Stock_list!A:S,17,FALSE)</f>
        <v>#N/A</v>
      </c>
      <c r="K3030" s="51" t="e">
        <f>VLOOKUP(H3030,Stock_list!A:T,16,FALSE)</f>
        <v>#N/A</v>
      </c>
      <c r="L3030" s="4">
        <v>44377</v>
      </c>
      <c r="M3030" s="140">
        <v>30</v>
      </c>
      <c r="P3030" s="4" t="e">
        <f>VLOOKUP(H3030,Stock_list!A:Y,25,FALSE)</f>
        <v>#N/A</v>
      </c>
      <c r="Q3030" s="143"/>
      <c r="T3030" s="144"/>
      <c r="U3030" s="145" t="e">
        <f>VLOOKUP(H3030,Stock_list!A:N,14,FALSE)</f>
        <v>#N/A</v>
      </c>
    </row>
    <row r="3031" spans="1:21" ht="16.5" customHeight="1">
      <c r="A3031" s="159" t="s">
        <v>261</v>
      </c>
      <c r="B3031" s="114" t="str">
        <f>VLOOKUP(A3031,'Data pick slip'!B:F,5,FALSE)</f>
        <v>KHJ-MC100-00</v>
      </c>
      <c r="F3031" s="157" t="s">
        <v>227</v>
      </c>
      <c r="H3031" s="138">
        <v>1384</v>
      </c>
      <c r="I3031" s="139" t="e">
        <f>VLOOKUP(H3031,Stock_list!A:R,18,FALSE)</f>
        <v>#N/A</v>
      </c>
      <c r="J3031" s="139" t="e">
        <f>VLOOKUP(H3031,Stock_list!A:S,17,FALSE)</f>
        <v>#N/A</v>
      </c>
      <c r="K3031" s="51" t="e">
        <f>VLOOKUP(H3031,Stock_list!A:T,16,FALSE)</f>
        <v>#N/A</v>
      </c>
      <c r="L3031" s="4">
        <v>44712</v>
      </c>
      <c r="M3031" s="140">
        <v>20</v>
      </c>
      <c r="P3031" s="4" t="e">
        <f>VLOOKUP(H3031,Stock_list!A:Y,25,FALSE)</f>
        <v>#N/A</v>
      </c>
      <c r="Q3031" s="143"/>
      <c r="T3031" s="144"/>
      <c r="U3031" s="145" t="e">
        <f>VLOOKUP(H3031,Stock_list!A:N,14,FALSE)</f>
        <v>#N/A</v>
      </c>
    </row>
    <row r="3032" spans="1:21" ht="16.5" customHeight="1">
      <c r="A3032" s="159" t="s">
        <v>285</v>
      </c>
      <c r="B3032" s="114" t="str">
        <f>VLOOKUP(A3032,'Data pick slip'!B:F,5,FALSE)</f>
        <v>KHJ-MC100-00</v>
      </c>
      <c r="F3032" s="157" t="s">
        <v>227</v>
      </c>
      <c r="H3032" s="138">
        <v>1394</v>
      </c>
      <c r="I3032" s="139" t="e">
        <f>VLOOKUP(H3032,Stock_list!A:R,18,FALSE)</f>
        <v>#N/A</v>
      </c>
      <c r="J3032" s="139" t="e">
        <f>VLOOKUP(H3032,Stock_list!A:S,17,FALSE)</f>
        <v>#N/A</v>
      </c>
      <c r="K3032" s="51" t="e">
        <f>VLOOKUP(H3032,Stock_list!A:T,16,FALSE)</f>
        <v>#N/A</v>
      </c>
      <c r="L3032" s="4">
        <v>44572</v>
      </c>
      <c r="M3032" s="140">
        <v>50</v>
      </c>
      <c r="P3032" s="4" t="e">
        <f>VLOOKUP(H3032,Stock_list!A:Y,25,FALSE)</f>
        <v>#N/A</v>
      </c>
      <c r="Q3032" s="143"/>
      <c r="T3032" s="144"/>
      <c r="U3032" s="145" t="e">
        <f>VLOOKUP(H3032,Stock_list!A:N,14,FALSE)</f>
        <v>#N/A</v>
      </c>
    </row>
    <row r="3033" spans="1:21" ht="16.5" customHeight="1">
      <c r="A3033" s="159" t="s">
        <v>264</v>
      </c>
      <c r="B3033" s="114" t="str">
        <f>VLOOKUP(A3033,'Data pick slip'!B:F,5,FALSE)</f>
        <v>KHJ-MC200-00</v>
      </c>
      <c r="F3033" s="157" t="s">
        <v>227</v>
      </c>
      <c r="H3033" s="138">
        <v>1394</v>
      </c>
      <c r="I3033" s="139" t="e">
        <f>VLOOKUP(H3033,Stock_list!A:R,18,FALSE)</f>
        <v>#N/A</v>
      </c>
      <c r="J3033" s="139" t="e">
        <f>VLOOKUP(H3033,Stock_list!A:S,17,FALSE)</f>
        <v>#N/A</v>
      </c>
      <c r="K3033" s="51" t="e">
        <f>VLOOKUP(H3033,Stock_list!A:T,16,FALSE)</f>
        <v>#N/A</v>
      </c>
      <c r="L3033" s="4">
        <v>44572</v>
      </c>
      <c r="M3033" s="140">
        <v>5</v>
      </c>
      <c r="P3033" s="4" t="e">
        <f>VLOOKUP(H3033,Stock_list!A:Y,25,FALSE)</f>
        <v>#N/A</v>
      </c>
      <c r="Q3033" s="143"/>
      <c r="T3033" s="144"/>
      <c r="U3033" s="145" t="e">
        <f>VLOOKUP(H3033,Stock_list!A:N,14,FALSE)</f>
        <v>#N/A</v>
      </c>
    </row>
    <row r="3034" spans="1:21" ht="16.5" customHeight="1">
      <c r="A3034" s="159" t="s">
        <v>265</v>
      </c>
      <c r="B3034" s="114" t="str">
        <f>VLOOKUP(A3034,'Data pick slip'!B:F,5,FALSE)</f>
        <v>KHJ-MC400-00</v>
      </c>
      <c r="F3034" s="157" t="s">
        <v>227</v>
      </c>
      <c r="H3034" s="138">
        <v>1394</v>
      </c>
      <c r="I3034" s="139" t="e">
        <f>VLOOKUP(H3034,Stock_list!A:R,18,FALSE)</f>
        <v>#N/A</v>
      </c>
      <c r="J3034" s="139" t="e">
        <f>VLOOKUP(H3034,Stock_list!A:S,17,FALSE)</f>
        <v>#N/A</v>
      </c>
      <c r="K3034" s="51" t="e">
        <f>VLOOKUP(H3034,Stock_list!A:T,16,FALSE)</f>
        <v>#N/A</v>
      </c>
      <c r="L3034" s="4">
        <v>44572</v>
      </c>
      <c r="M3034" s="140">
        <v>2</v>
      </c>
      <c r="P3034" s="4" t="e">
        <f>VLOOKUP(H3034,Stock_list!A:Y,25,FALSE)</f>
        <v>#N/A</v>
      </c>
      <c r="Q3034" s="143"/>
      <c r="T3034" s="144"/>
      <c r="U3034" s="145" t="e">
        <f>VLOOKUP(H3034,Stock_list!A:N,14,FALSE)</f>
        <v>#N/A</v>
      </c>
    </row>
    <row r="3035" spans="1:21" ht="16.5" customHeight="1">
      <c r="A3035" s="159" t="s">
        <v>267</v>
      </c>
      <c r="B3035" s="114" t="str">
        <f>VLOOKUP(A3035,'Data pick slip'!B:F,5,FALSE)</f>
        <v>KHJ-MC600-00</v>
      </c>
      <c r="F3035" s="157" t="s">
        <v>227</v>
      </c>
      <c r="H3035" s="138">
        <v>1394</v>
      </c>
      <c r="I3035" s="139" t="e">
        <f>VLOOKUP(H3035,Stock_list!A:R,18,FALSE)</f>
        <v>#N/A</v>
      </c>
      <c r="J3035" s="139" t="e">
        <f>VLOOKUP(H3035,Stock_list!A:S,17,FALSE)</f>
        <v>#N/A</v>
      </c>
      <c r="K3035" s="51" t="e">
        <f>VLOOKUP(H3035,Stock_list!A:T,16,FALSE)</f>
        <v>#N/A</v>
      </c>
      <c r="L3035" s="4">
        <v>44572</v>
      </c>
      <c r="M3035" s="140">
        <v>1</v>
      </c>
      <c r="P3035" s="4" t="e">
        <f>VLOOKUP(H3035,Stock_list!A:Y,25,FALSE)</f>
        <v>#N/A</v>
      </c>
      <c r="Q3035" s="143"/>
      <c r="T3035" s="144"/>
      <c r="U3035" s="145" t="e">
        <f>VLOOKUP(H3035,Stock_list!A:N,14,FALSE)</f>
        <v>#N/A</v>
      </c>
    </row>
    <row r="3036" spans="1:21" ht="16.5" customHeight="1">
      <c r="A3036" s="159" t="s">
        <v>285</v>
      </c>
      <c r="B3036" s="114" t="str">
        <f>VLOOKUP(A3036,'Data pick slip'!B:F,5,FALSE)</f>
        <v>KHJ-MC100-00</v>
      </c>
      <c r="F3036" s="157" t="s">
        <v>227</v>
      </c>
      <c r="I3036" s="269" t="s">
        <v>931</v>
      </c>
      <c r="J3036" s="139" t="s">
        <v>963</v>
      </c>
      <c r="K3036" s="51" t="s">
        <v>225</v>
      </c>
      <c r="L3036" s="4">
        <v>44341</v>
      </c>
      <c r="M3036" s="140">
        <v>280</v>
      </c>
      <c r="P3036" s="4" t="s">
        <v>214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266</v>
      </c>
      <c r="B3037" s="114" t="str">
        <f>VLOOKUP(A3037,'Data pick slip'!B:F,5,FALSE)</f>
        <v>KHJ-MC500-00</v>
      </c>
      <c r="F3037" s="157" t="s">
        <v>227</v>
      </c>
      <c r="I3037" s="269" t="s">
        <v>931</v>
      </c>
      <c r="J3037" s="139" t="s">
        <v>963</v>
      </c>
      <c r="K3037" s="51" t="s">
        <v>225</v>
      </c>
      <c r="L3037" s="4">
        <v>44341</v>
      </c>
      <c r="M3037" s="140">
        <v>10</v>
      </c>
      <c r="P3037" s="4" t="s">
        <v>214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285</v>
      </c>
      <c r="B3038" s="114" t="str">
        <f>VLOOKUP(A3038,'Data pick slip'!B:F,5,FALSE)</f>
        <v>KHJ-MC100-00</v>
      </c>
      <c r="F3038" s="157" t="s">
        <v>227</v>
      </c>
      <c r="H3038" s="138">
        <v>1228</v>
      </c>
      <c r="I3038" s="139" t="e">
        <f>VLOOKUP(H3038,Stock_list!A:R,18,FALSE)</f>
        <v>#N/A</v>
      </c>
      <c r="J3038" s="139" t="e">
        <f>VLOOKUP(H3038,Stock_list!A:S,17,FALSE)</f>
        <v>#N/A</v>
      </c>
      <c r="K3038" s="51" t="e">
        <f>VLOOKUP(H3038,Stock_list!A:T,16,FALSE)</f>
        <v>#N/A</v>
      </c>
      <c r="L3038" s="4">
        <v>44349</v>
      </c>
      <c r="M3038" s="132">
        <v>350</v>
      </c>
      <c r="P3038" s="4" t="e">
        <f>VLOOKUP(H3038,Stock_list!A:Y,25,FALSE)</f>
        <v>#N/A</v>
      </c>
      <c r="Q3038" s="143"/>
      <c r="T3038" s="144"/>
      <c r="U3038" s="145" t="e">
        <f>VLOOKUP(H3038,Stock_list!A:N,14,FALSE)</f>
        <v>#N/A</v>
      </c>
    </row>
    <row r="3039" spans="1:21" ht="16.5" customHeight="1">
      <c r="A3039" s="159" t="s">
        <v>264</v>
      </c>
      <c r="B3039" s="114" t="str">
        <f>VLOOKUP(A3039,'Data pick slip'!B:F,5,FALSE)</f>
        <v>KHJ-MC200-00</v>
      </c>
      <c r="F3039" s="157" t="s">
        <v>227</v>
      </c>
      <c r="H3039" s="138">
        <v>1228</v>
      </c>
      <c r="I3039" s="139" t="e">
        <f>VLOOKUP(H3039,Stock_list!A:R,18,FALSE)</f>
        <v>#N/A</v>
      </c>
      <c r="J3039" s="139" t="e">
        <f>VLOOKUP(H3039,Stock_list!A:S,17,FALSE)</f>
        <v>#N/A</v>
      </c>
      <c r="K3039" s="51" t="e">
        <f>VLOOKUP(H3039,Stock_list!A:T,16,FALSE)</f>
        <v>#N/A</v>
      </c>
      <c r="L3039" s="4">
        <v>44349</v>
      </c>
      <c r="M3039" s="132">
        <v>15</v>
      </c>
      <c r="P3039" s="4" t="e">
        <f>VLOOKUP(H3039,Stock_list!A:Y,25,FALSE)</f>
        <v>#N/A</v>
      </c>
      <c r="Q3039" s="143"/>
      <c r="T3039" s="144"/>
      <c r="U3039" s="145" t="e">
        <f>VLOOKUP(H3039,Stock_list!A:N,14,FALSE)</f>
        <v>#N/A</v>
      </c>
    </row>
    <row r="3040" spans="1:21" ht="16.5" customHeight="1">
      <c r="A3040" s="159" t="s">
        <v>285</v>
      </c>
      <c r="B3040" s="114" t="str">
        <f>VLOOKUP(A3040,'Data pick slip'!B:F,5,FALSE)</f>
        <v>KHJ-MC100-00</v>
      </c>
      <c r="F3040" s="157" t="s">
        <v>227</v>
      </c>
      <c r="H3040" s="138">
        <v>1397</v>
      </c>
      <c r="I3040" s="139" t="e">
        <f>VLOOKUP(H3040,Stock_list!A:R,18,FALSE)</f>
        <v>#N/A</v>
      </c>
      <c r="J3040" s="139" t="e">
        <f>VLOOKUP(H3040,Stock_list!A:S,17,FALSE)</f>
        <v>#N/A</v>
      </c>
      <c r="K3040" s="51" t="e">
        <f>VLOOKUP(H3040,Stock_list!A:T,16,FALSE)</f>
        <v>#N/A</v>
      </c>
      <c r="L3040" s="287">
        <v>44512</v>
      </c>
      <c r="M3040" s="289">
        <v>52</v>
      </c>
      <c r="P3040" s="4" t="e">
        <f>VLOOKUP(H3040,Stock_list!A:Y,25,FALSE)</f>
        <v>#N/A</v>
      </c>
      <c r="T3040" s="144"/>
      <c r="U3040" s="145" t="e">
        <f>VLOOKUP(H3040,Stock_list!A:N,14,FALSE)</f>
        <v>#N/A</v>
      </c>
    </row>
    <row r="3041" spans="1:21" ht="16.5" customHeight="1">
      <c r="A3041" s="159" t="s">
        <v>264</v>
      </c>
      <c r="B3041" s="114" t="str">
        <f>VLOOKUP(A3041,'Data pick slip'!B:F,5,FALSE)</f>
        <v>KHJ-MC200-00</v>
      </c>
      <c r="F3041" s="157" t="s">
        <v>227</v>
      </c>
      <c r="H3041" s="138">
        <v>1397</v>
      </c>
      <c r="I3041" s="139" t="e">
        <f>VLOOKUP(H3041,Stock_list!A:R,18,FALSE)</f>
        <v>#N/A</v>
      </c>
      <c r="J3041" s="139" t="e">
        <f>VLOOKUP(H3041,Stock_list!A:S,17,FALSE)</f>
        <v>#N/A</v>
      </c>
      <c r="K3041" s="259" t="e">
        <f>VLOOKUP(H3041,Stock_list!A:T,16,FALSE)</f>
        <v>#N/A</v>
      </c>
      <c r="L3041" s="287">
        <v>44512</v>
      </c>
      <c r="M3041" s="289">
        <v>16</v>
      </c>
      <c r="P3041" s="4" t="e">
        <f>VLOOKUP(H3041,Stock_list!A:Y,25,FALSE)</f>
        <v>#N/A</v>
      </c>
      <c r="T3041" s="144"/>
      <c r="U3041" s="145" t="e">
        <f>VLOOKUP(H3041,Stock_list!A:N,14,FALSE)</f>
        <v>#N/A</v>
      </c>
    </row>
    <row r="3042" spans="1:21" ht="16.5" customHeight="1">
      <c r="A3042" s="159" t="s">
        <v>265</v>
      </c>
      <c r="B3042" s="114" t="str">
        <f>VLOOKUP(A3042,'Data pick slip'!B:F,5,FALSE)</f>
        <v>KHJ-MC400-00</v>
      </c>
      <c r="F3042" s="157" t="s">
        <v>227</v>
      </c>
      <c r="H3042" s="138">
        <v>1397</v>
      </c>
      <c r="I3042" s="139" t="e">
        <f>VLOOKUP(H3042,Stock_list!A:R,18,FALSE)</f>
        <v>#N/A</v>
      </c>
      <c r="J3042" s="139" t="e">
        <f>VLOOKUP(H3042,Stock_list!A:S,17,FALSE)</f>
        <v>#N/A</v>
      </c>
      <c r="K3042" s="51" t="e">
        <f>VLOOKUP(H3042,Stock_list!A:T,16,FALSE)</f>
        <v>#N/A</v>
      </c>
      <c r="L3042" s="287">
        <v>44512</v>
      </c>
      <c r="M3042" s="289">
        <v>3</v>
      </c>
      <c r="P3042" s="4" t="e">
        <f>VLOOKUP(H3042,Stock_list!A:Y,25,FALSE)</f>
        <v>#N/A</v>
      </c>
      <c r="T3042" s="144"/>
      <c r="U3042" s="145" t="e">
        <f>VLOOKUP(H3042,Stock_list!A:N,14,FALSE)</f>
        <v>#N/A</v>
      </c>
    </row>
    <row r="3043" spans="1:21" ht="16.5" customHeight="1">
      <c r="A3043" s="159" t="s">
        <v>285</v>
      </c>
      <c r="B3043" s="114" t="str">
        <f>VLOOKUP(A3043,'Data pick slip'!B:F,5,FALSE)</f>
        <v>KHJ-MC100-00</v>
      </c>
      <c r="F3043" s="157" t="s">
        <v>227</v>
      </c>
      <c r="H3043" s="138">
        <v>1398</v>
      </c>
      <c r="I3043" s="139" t="e">
        <f>VLOOKUP(H3043,Stock_list!A:R,18,FALSE)</f>
        <v>#N/A</v>
      </c>
      <c r="J3043" s="139" t="e">
        <f>VLOOKUP(H3043,Stock_list!A:S,17,FALSE)</f>
        <v>#N/A</v>
      </c>
      <c r="K3043" s="51" t="e">
        <f>VLOOKUP(H3043,Stock_list!A:T,16,FALSE)</f>
        <v>#N/A</v>
      </c>
      <c r="L3043" s="4">
        <v>44608</v>
      </c>
      <c r="M3043" s="140">
        <v>46</v>
      </c>
      <c r="N3043" s="143"/>
      <c r="P3043" s="4" t="e">
        <f>VLOOKUP(H3043,Stock_list!A:Y,25,FALSE)</f>
        <v>#N/A</v>
      </c>
      <c r="T3043" s="144"/>
      <c r="U3043" s="145" t="e">
        <f>VLOOKUP(H3043,Stock_list!A:N,14,FALSE)</f>
        <v>#N/A</v>
      </c>
    </row>
    <row r="3044" spans="1:21" ht="16.5" customHeight="1">
      <c r="A3044" s="159" t="s">
        <v>264</v>
      </c>
      <c r="B3044" s="114" t="str">
        <f>VLOOKUP(A3044,'Data pick slip'!B:F,5,FALSE)</f>
        <v>KHJ-MC200-00</v>
      </c>
      <c r="F3044" s="157" t="s">
        <v>227</v>
      </c>
      <c r="H3044" s="138">
        <v>1398</v>
      </c>
      <c r="I3044" s="139" t="e">
        <f>VLOOKUP(H3044,Stock_list!A:R,18,FALSE)</f>
        <v>#N/A</v>
      </c>
      <c r="J3044" s="139" t="e">
        <f>VLOOKUP(H3044,Stock_list!A:S,17,FALSE)</f>
        <v>#N/A</v>
      </c>
      <c r="K3044" s="51" t="e">
        <f>VLOOKUP(H3044,Stock_list!A:T,16,FALSE)</f>
        <v>#N/A</v>
      </c>
      <c r="L3044" s="4">
        <v>44608</v>
      </c>
      <c r="M3044" s="140">
        <v>8</v>
      </c>
      <c r="N3044" s="143"/>
      <c r="P3044" s="4" t="e">
        <f>VLOOKUP(H3044,Stock_list!A:Y,25,FALSE)</f>
        <v>#N/A</v>
      </c>
      <c r="T3044" s="144"/>
      <c r="U3044" s="145" t="e">
        <f>VLOOKUP(H3044,Stock_list!A:N,14,FALSE)</f>
        <v>#N/A</v>
      </c>
    </row>
    <row r="3045" spans="1:21" ht="16.5" customHeight="1">
      <c r="A3045" s="159" t="s">
        <v>265</v>
      </c>
      <c r="B3045" s="114" t="str">
        <f>VLOOKUP(A3045,'Data pick slip'!B:F,5,FALSE)</f>
        <v>KHJ-MC400-00</v>
      </c>
      <c r="F3045" s="157" t="s">
        <v>227</v>
      </c>
      <c r="H3045" s="138">
        <v>1398</v>
      </c>
      <c r="I3045" s="139" t="e">
        <f>VLOOKUP(H3045,Stock_list!A:R,18,FALSE)</f>
        <v>#N/A</v>
      </c>
      <c r="J3045" s="139" t="e">
        <f>VLOOKUP(H3045,Stock_list!A:S,17,FALSE)</f>
        <v>#N/A</v>
      </c>
      <c r="K3045" s="51" t="e">
        <f>VLOOKUP(H3045,Stock_list!A:T,16,FALSE)</f>
        <v>#N/A</v>
      </c>
      <c r="L3045" s="4">
        <v>44608</v>
      </c>
      <c r="M3045" s="140">
        <v>1</v>
      </c>
      <c r="N3045" s="143"/>
      <c r="P3045" s="4" t="e">
        <f>VLOOKUP(H3045,Stock_list!A:Y,25,FALSE)</f>
        <v>#N/A</v>
      </c>
      <c r="T3045" s="144"/>
      <c r="U3045" s="145" t="e">
        <f>VLOOKUP(H3045,Stock_list!A:N,14,FALSE)</f>
        <v>#N/A</v>
      </c>
    </row>
    <row r="3046" spans="1:21" ht="16.5" customHeight="1">
      <c r="A3046" s="159" t="s">
        <v>285</v>
      </c>
      <c r="B3046" s="114" t="str">
        <f>VLOOKUP(A3046,'Data pick slip'!B:F,5,FALSE)</f>
        <v>KHJ-MC100-00</v>
      </c>
      <c r="F3046" s="157" t="s">
        <v>227</v>
      </c>
      <c r="H3046" s="138">
        <v>1398</v>
      </c>
      <c r="I3046" s="139" t="e">
        <f>VLOOKUP(H3046,Stock_list!A:R,18,FALSE)</f>
        <v>#N/A</v>
      </c>
      <c r="J3046" s="139" t="e">
        <f>VLOOKUP(H3046,Stock_list!A:S,17,FALSE)</f>
        <v>#N/A</v>
      </c>
      <c r="K3046" s="51" t="e">
        <f>VLOOKUP(H3046,Stock_list!A:T,16,FALSE)</f>
        <v>#N/A</v>
      </c>
      <c r="L3046" s="4">
        <v>44407</v>
      </c>
      <c r="M3046" s="140">
        <v>84</v>
      </c>
      <c r="N3046" s="143"/>
      <c r="P3046" s="4" t="e">
        <f>VLOOKUP(H3046,Stock_list!A:Y,25,FALSE)</f>
        <v>#N/A</v>
      </c>
      <c r="T3046" s="144"/>
      <c r="U3046" s="145" t="e">
        <f>VLOOKUP(H3046,Stock_list!A:N,14,FALSE)</f>
        <v>#N/A</v>
      </c>
    </row>
    <row r="3047" spans="1:21" ht="16.5" customHeight="1">
      <c r="A3047" s="159" t="s">
        <v>264</v>
      </c>
      <c r="B3047" s="114" t="str">
        <f>VLOOKUP(A3047,'Data pick slip'!B:F,5,FALSE)</f>
        <v>KHJ-MC200-00</v>
      </c>
      <c r="F3047" s="157" t="s">
        <v>227</v>
      </c>
      <c r="H3047" s="138">
        <v>1398</v>
      </c>
      <c r="I3047" s="139" t="e">
        <f>VLOOKUP(H3047,Stock_list!A:R,18,FALSE)</f>
        <v>#N/A</v>
      </c>
      <c r="J3047" s="139" t="e">
        <f>VLOOKUP(H3047,Stock_list!A:S,17,FALSE)</f>
        <v>#N/A</v>
      </c>
      <c r="K3047" s="51" t="e">
        <f>VLOOKUP(H3047,Stock_list!A:T,16,FALSE)</f>
        <v>#N/A</v>
      </c>
      <c r="L3047" s="4">
        <v>44407</v>
      </c>
      <c r="M3047" s="140">
        <v>16</v>
      </c>
      <c r="N3047" s="143"/>
      <c r="P3047" s="4" t="e">
        <f>VLOOKUP(H3047,Stock_list!A:Y,25,FALSE)</f>
        <v>#N/A</v>
      </c>
      <c r="T3047" s="144"/>
      <c r="U3047" s="145" t="e">
        <f>VLOOKUP(H3047,Stock_list!A:N,14,FALSE)</f>
        <v>#N/A</v>
      </c>
    </row>
    <row r="3048" spans="1:21" ht="16.5" customHeight="1">
      <c r="A3048" s="159" t="s">
        <v>265</v>
      </c>
      <c r="B3048" s="114" t="str">
        <f>VLOOKUP(A3048,'Data pick slip'!B:F,5,FALSE)</f>
        <v>KHJ-MC400-00</v>
      </c>
      <c r="F3048" s="157" t="s">
        <v>227</v>
      </c>
      <c r="H3048" s="138">
        <v>1398</v>
      </c>
      <c r="I3048" s="139" t="e">
        <f>VLOOKUP(H3048,Stock_list!A:R,18,FALSE)</f>
        <v>#N/A</v>
      </c>
      <c r="J3048" s="139" t="e">
        <f>VLOOKUP(H3048,Stock_list!A:S,17,FALSE)</f>
        <v>#N/A</v>
      </c>
      <c r="K3048" s="51" t="e">
        <f>VLOOKUP(H3048,Stock_list!A:T,16,FALSE)</f>
        <v>#N/A</v>
      </c>
      <c r="L3048" s="4">
        <v>44407</v>
      </c>
      <c r="M3048" s="140">
        <v>1</v>
      </c>
      <c r="N3048" s="143"/>
      <c r="P3048" s="4" t="e">
        <f>VLOOKUP(H3048,Stock_list!A:Y,25,FALSE)</f>
        <v>#N/A</v>
      </c>
      <c r="T3048" s="144"/>
      <c r="U3048" s="145" t="e">
        <f>VLOOKUP(H3048,Stock_list!A:N,14,FALSE)</f>
        <v>#N/A</v>
      </c>
    </row>
    <row r="3049" spans="1:21" ht="16.5" customHeight="1">
      <c r="A3049" s="159" t="s">
        <v>285</v>
      </c>
      <c r="B3049" s="114" t="str">
        <f>VLOOKUP(A3049,'Data pick slip'!B:F,5,FALSE)</f>
        <v>KHJ-MC100-00</v>
      </c>
      <c r="F3049" s="157" t="s">
        <v>227</v>
      </c>
      <c r="I3049" s="269" t="s">
        <v>931</v>
      </c>
      <c r="J3049" s="139" t="s">
        <v>964</v>
      </c>
      <c r="K3049" s="51" t="s">
        <v>225</v>
      </c>
      <c r="L3049" s="4">
        <v>44348</v>
      </c>
      <c r="M3049" s="140">
        <v>50</v>
      </c>
      <c r="P3049" s="4" t="s">
        <v>214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264</v>
      </c>
      <c r="B3050" s="114" t="str">
        <f>VLOOKUP(A3050,'Data pick slip'!B:F,5,FALSE)</f>
        <v>KHJ-MC200-00</v>
      </c>
      <c r="F3050" s="157" t="s">
        <v>227</v>
      </c>
      <c r="I3050" s="269" t="s">
        <v>931</v>
      </c>
      <c r="J3050" s="139" t="s">
        <v>964</v>
      </c>
      <c r="K3050" s="51" t="s">
        <v>225</v>
      </c>
      <c r="L3050" s="4">
        <v>44348</v>
      </c>
      <c r="M3050" s="140">
        <v>20</v>
      </c>
      <c r="P3050" s="4" t="s">
        <v>214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267</v>
      </c>
      <c r="B3051" s="114" t="str">
        <f>VLOOKUP(A3051,'Data pick slip'!B:F,5,FALSE)</f>
        <v>KHJ-MC600-00</v>
      </c>
      <c r="F3051" s="157" t="s">
        <v>227</v>
      </c>
      <c r="I3051" s="269" t="s">
        <v>931</v>
      </c>
      <c r="J3051" s="139" t="s">
        <v>964</v>
      </c>
      <c r="K3051" s="51" t="s">
        <v>225</v>
      </c>
      <c r="L3051" s="4">
        <v>44348</v>
      </c>
      <c r="M3051" s="140">
        <v>2</v>
      </c>
      <c r="P3051" s="4" t="s">
        <v>214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285</v>
      </c>
      <c r="B3052" s="114" t="str">
        <f>VLOOKUP(A3052,'Data pick slip'!B:F,5,FALSE)</f>
        <v>KHJ-MC100-00</v>
      </c>
      <c r="F3052" s="157" t="s">
        <v>227</v>
      </c>
      <c r="H3052" s="138">
        <v>1401</v>
      </c>
      <c r="I3052" s="139" t="e">
        <f>VLOOKUP(H3052,Stock_list!A:R,18,FALSE)</f>
        <v>#N/A</v>
      </c>
      <c r="J3052" s="139" t="e">
        <f>VLOOKUP(H3052,Stock_list!A:S,17,FALSE)</f>
        <v>#N/A</v>
      </c>
      <c r="K3052" s="51" t="e">
        <f>VLOOKUP(H3052,Stock_list!A:T,16,FALSE)</f>
        <v>#N/A</v>
      </c>
      <c r="L3052" s="287">
        <v>44530</v>
      </c>
      <c r="M3052" s="290">
        <v>20</v>
      </c>
      <c r="N3052" s="143"/>
      <c r="P3052" s="4" t="e">
        <f>VLOOKUP(H3052,Stock_list!A:Y,25,FALSE)</f>
        <v>#N/A</v>
      </c>
      <c r="T3052" s="144"/>
      <c r="U3052" s="145" t="e">
        <f>VLOOKUP(H3052,Stock_list!A:N,14,FALSE)</f>
        <v>#N/A</v>
      </c>
    </row>
    <row r="3053" spans="1:21" ht="16.5" customHeight="1">
      <c r="A3053" s="159" t="s">
        <v>264</v>
      </c>
      <c r="B3053" s="114" t="str">
        <f>VLOOKUP(A3053,'Data pick slip'!B:F,5,FALSE)</f>
        <v>KHJ-MC200-00</v>
      </c>
      <c r="F3053" s="157" t="s">
        <v>227</v>
      </c>
      <c r="H3053" s="138">
        <v>1401</v>
      </c>
      <c r="I3053" s="139" t="e">
        <f>VLOOKUP(H3053,Stock_list!A:R,18,FALSE)</f>
        <v>#N/A</v>
      </c>
      <c r="J3053" s="139" t="e">
        <f>VLOOKUP(H3053,Stock_list!A:S,17,FALSE)</f>
        <v>#N/A</v>
      </c>
      <c r="K3053" s="259" t="e">
        <f>VLOOKUP(H3053,Stock_list!A:T,16,FALSE)</f>
        <v>#N/A</v>
      </c>
      <c r="L3053" s="287">
        <v>44530</v>
      </c>
      <c r="M3053" s="290">
        <v>2</v>
      </c>
      <c r="N3053" s="143"/>
      <c r="P3053" s="4" t="e">
        <f>VLOOKUP(H3053,Stock_list!A:Y,25,FALSE)</f>
        <v>#N/A</v>
      </c>
      <c r="T3053" s="144"/>
      <c r="U3053" s="145" t="e">
        <f>VLOOKUP(H3053,Stock_list!A:N,14,FALSE)</f>
        <v>#N/A</v>
      </c>
    </row>
    <row r="3054" spans="1:21" ht="16.5" customHeight="1">
      <c r="A3054" s="159" t="s">
        <v>285</v>
      </c>
      <c r="B3054" s="114" t="str">
        <f>VLOOKUP(A3054,'Data pick slip'!B:F,5,FALSE)</f>
        <v>KHJ-MC100-00</v>
      </c>
      <c r="F3054" s="157" t="s">
        <v>227</v>
      </c>
      <c r="H3054" s="138">
        <v>1402</v>
      </c>
      <c r="I3054" s="139" t="e">
        <f>VLOOKUP(H3054,Stock_list!A:R,18,FALSE)</f>
        <v>#N/A</v>
      </c>
      <c r="J3054" s="139" t="e">
        <f>VLOOKUP(H3054,Stock_list!A:S,17,FALSE)</f>
        <v>#N/A</v>
      </c>
      <c r="K3054" s="51" t="e">
        <f>VLOOKUP(H3054,Stock_list!A:T,16,FALSE)</f>
        <v>#N/A</v>
      </c>
      <c r="L3054" s="4">
        <v>44666</v>
      </c>
      <c r="M3054" s="140">
        <v>20</v>
      </c>
      <c r="P3054" s="4" t="e">
        <f>VLOOKUP(H3054,Stock_list!A:Y,25,FALSE)</f>
        <v>#N/A</v>
      </c>
      <c r="Q3054" s="143"/>
      <c r="T3054" s="144"/>
      <c r="U3054" s="145" t="e">
        <f>VLOOKUP(H3054,Stock_list!A:N,14,FALSE)</f>
        <v>#N/A</v>
      </c>
    </row>
    <row r="3055" spans="1:21" ht="16.5" customHeight="1">
      <c r="A3055" s="159" t="s">
        <v>264</v>
      </c>
      <c r="B3055" s="114" t="str">
        <f>VLOOKUP(A3055,'Data pick slip'!B:F,5,FALSE)</f>
        <v>KHJ-MC200-00</v>
      </c>
      <c r="F3055" s="157" t="s">
        <v>227</v>
      </c>
      <c r="H3055" s="138">
        <v>1402</v>
      </c>
      <c r="I3055" s="139" t="e">
        <f>VLOOKUP(H3055,Stock_list!A:R,18,FALSE)</f>
        <v>#N/A</v>
      </c>
      <c r="J3055" s="139" t="e">
        <f>VLOOKUP(H3055,Stock_list!A:S,17,FALSE)</f>
        <v>#N/A</v>
      </c>
      <c r="K3055" s="51" t="e">
        <f>VLOOKUP(H3055,Stock_list!A:T,16,FALSE)</f>
        <v>#N/A</v>
      </c>
      <c r="L3055" s="4">
        <v>44666</v>
      </c>
      <c r="M3055" s="140">
        <v>2</v>
      </c>
      <c r="P3055" s="4" t="e">
        <f>VLOOKUP(H3055,Stock_list!A:Y,25,FALSE)</f>
        <v>#N/A</v>
      </c>
      <c r="Q3055" s="143"/>
      <c r="T3055" s="144"/>
      <c r="U3055" s="145" t="e">
        <f>VLOOKUP(H3055,Stock_list!A:N,14,FALSE)</f>
        <v>#N/A</v>
      </c>
    </row>
    <row r="3056" spans="1:21" ht="16.5" customHeight="1">
      <c r="A3056" s="159" t="s">
        <v>285</v>
      </c>
      <c r="B3056" s="114" t="str">
        <f>VLOOKUP(A3056,'Data pick slip'!B:F,5,FALSE)</f>
        <v>KHJ-MC100-00</v>
      </c>
      <c r="F3056" s="157" t="s">
        <v>227</v>
      </c>
      <c r="H3056" s="138">
        <v>1403</v>
      </c>
      <c r="I3056" s="139" t="e">
        <f>VLOOKUP(H3056,Stock_list!A:R,18,FALSE)</f>
        <v>#N/A</v>
      </c>
      <c r="J3056" s="139" t="e">
        <f>VLOOKUP(H3056,Stock_list!A:S,17,FALSE)</f>
        <v>#N/A</v>
      </c>
      <c r="K3056" s="51" t="e">
        <f>VLOOKUP(H3056,Stock_list!A:T,16,FALSE)</f>
        <v>#N/A</v>
      </c>
      <c r="L3056" s="287">
        <v>44526</v>
      </c>
      <c r="M3056" s="289">
        <v>112</v>
      </c>
      <c r="P3056" s="4" t="e">
        <f>VLOOKUP(H3056,Stock_list!A:Y,25,FALSE)</f>
        <v>#N/A</v>
      </c>
      <c r="Q3056" s="146"/>
      <c r="T3056" s="144"/>
      <c r="U3056" s="145" t="e">
        <f>VLOOKUP(H3056,Stock_list!A:N,14,FALSE)</f>
        <v>#N/A</v>
      </c>
    </row>
    <row r="3057" spans="1:21" ht="16.5" customHeight="1">
      <c r="A3057" s="159" t="s">
        <v>264</v>
      </c>
      <c r="B3057" s="114" t="str">
        <f>VLOOKUP(A3057,'Data pick slip'!B:F,5,FALSE)</f>
        <v>KHJ-MC200-00</v>
      </c>
      <c r="F3057" s="157" t="s">
        <v>227</v>
      </c>
      <c r="H3057" s="138">
        <v>1403</v>
      </c>
      <c r="I3057" s="139" t="e">
        <f>VLOOKUP(H3057,Stock_list!A:R,18,FALSE)</f>
        <v>#N/A</v>
      </c>
      <c r="J3057" s="139" t="e">
        <f>VLOOKUP(H3057,Stock_list!A:S,17,FALSE)</f>
        <v>#N/A</v>
      </c>
      <c r="K3057" s="259" t="e">
        <f>VLOOKUP(H3057,Stock_list!A:T,16,FALSE)</f>
        <v>#N/A</v>
      </c>
      <c r="L3057" s="287">
        <v>44526</v>
      </c>
      <c r="M3057" s="289">
        <v>16</v>
      </c>
      <c r="P3057" s="4" t="e">
        <f>VLOOKUP(H3057,Stock_list!A:Y,25,FALSE)</f>
        <v>#N/A</v>
      </c>
      <c r="Q3057" s="146"/>
      <c r="T3057" s="144"/>
      <c r="U3057" s="145" t="e">
        <f>VLOOKUP(H3057,Stock_list!A:N,14,FALSE)</f>
        <v>#N/A</v>
      </c>
    </row>
    <row r="3058" spans="1:21" ht="16.5" customHeight="1">
      <c r="A3058" s="159" t="s">
        <v>265</v>
      </c>
      <c r="B3058" s="114" t="str">
        <f>VLOOKUP(A3058,'Data pick slip'!B:F,5,FALSE)</f>
        <v>KHJ-MC400-00</v>
      </c>
      <c r="F3058" s="157" t="s">
        <v>227</v>
      </c>
      <c r="H3058" s="138">
        <v>1403</v>
      </c>
      <c r="I3058" s="139" t="e">
        <f>VLOOKUP(H3058,Stock_list!A:R,18,FALSE)</f>
        <v>#N/A</v>
      </c>
      <c r="J3058" s="139" t="e">
        <f>VLOOKUP(H3058,Stock_list!A:S,17,FALSE)</f>
        <v>#N/A</v>
      </c>
      <c r="K3058" s="51" t="e">
        <f>VLOOKUP(H3058,Stock_list!A:T,16,FALSE)</f>
        <v>#N/A</v>
      </c>
      <c r="L3058" s="287">
        <v>44526</v>
      </c>
      <c r="M3058" s="289">
        <v>4</v>
      </c>
      <c r="P3058" s="4" t="e">
        <f>VLOOKUP(H3058,Stock_list!A:Y,25,FALSE)</f>
        <v>#N/A</v>
      </c>
      <c r="Q3058" s="146"/>
      <c r="T3058" s="144"/>
      <c r="U3058" s="145" t="e">
        <f>VLOOKUP(H3058,Stock_list!A:N,14,FALSE)</f>
        <v>#N/A</v>
      </c>
    </row>
    <row r="3059" spans="1:21" ht="16.5" customHeight="1">
      <c r="A3059" s="159" t="s">
        <v>266</v>
      </c>
      <c r="B3059" s="114" t="str">
        <f>VLOOKUP(A3059,'Data pick slip'!B:F,5,FALSE)</f>
        <v>KHJ-MC500-00</v>
      </c>
      <c r="F3059" s="157" t="s">
        <v>227</v>
      </c>
      <c r="H3059" s="138">
        <v>1403</v>
      </c>
      <c r="I3059" s="139" t="e">
        <f>VLOOKUP(H3059,Stock_list!A:R,18,FALSE)</f>
        <v>#N/A</v>
      </c>
      <c r="J3059" s="139" t="e">
        <f>VLOOKUP(H3059,Stock_list!A:S,17,FALSE)</f>
        <v>#N/A</v>
      </c>
      <c r="K3059" s="51" t="e">
        <f>VLOOKUP(H3059,Stock_list!A:T,16,FALSE)</f>
        <v>#N/A</v>
      </c>
      <c r="L3059" s="4">
        <v>44526</v>
      </c>
      <c r="M3059" s="143">
        <v>3</v>
      </c>
      <c r="P3059" s="4" t="e">
        <f>VLOOKUP(H3059,Stock_list!A:Y,25,FALSE)</f>
        <v>#N/A</v>
      </c>
      <c r="Q3059" s="146"/>
      <c r="T3059" s="144"/>
      <c r="U3059" s="145" t="e">
        <f>VLOOKUP(H3059,Stock_list!A:N,14,FALSE)</f>
        <v>#N/A</v>
      </c>
    </row>
    <row r="3060" spans="1:21" ht="16.5" customHeight="1">
      <c r="A3060" s="159" t="s">
        <v>267</v>
      </c>
      <c r="B3060" s="114" t="str">
        <f>VLOOKUP(A3060,'Data pick slip'!B:F,5,FALSE)</f>
        <v>KHJ-MC600-00</v>
      </c>
      <c r="F3060" s="157" t="s">
        <v>227</v>
      </c>
      <c r="H3060" s="138">
        <v>1403</v>
      </c>
      <c r="I3060" s="139" t="e">
        <f>VLOOKUP(H3060,Stock_list!A:R,18,FALSE)</f>
        <v>#N/A</v>
      </c>
      <c r="J3060" s="139" t="e">
        <f>VLOOKUP(H3060,Stock_list!A:S,17,FALSE)</f>
        <v>#N/A</v>
      </c>
      <c r="K3060" s="51" t="e">
        <f>VLOOKUP(H3060,Stock_list!A:T,16,FALSE)</f>
        <v>#N/A</v>
      </c>
      <c r="L3060" s="4">
        <v>44526</v>
      </c>
      <c r="M3060" s="143">
        <v>2</v>
      </c>
      <c r="P3060" s="4" t="e">
        <f>VLOOKUP(H3060,Stock_list!A:Y,25,FALSE)</f>
        <v>#N/A</v>
      </c>
      <c r="Q3060" s="146"/>
      <c r="T3060" s="144"/>
      <c r="U3060" s="145" t="e">
        <f>VLOOKUP(H3060,Stock_list!A:N,14,FALSE)</f>
        <v>#N/A</v>
      </c>
    </row>
    <row r="3061" spans="1:21" ht="16.5" customHeight="1">
      <c r="A3061" s="159" t="s">
        <v>285</v>
      </c>
      <c r="B3061" s="114" t="str">
        <f>VLOOKUP(A3061,'Data pick slip'!B:F,5,FALSE)</f>
        <v>KHJ-MC100-00</v>
      </c>
      <c r="F3061" s="157" t="s">
        <v>270</v>
      </c>
      <c r="H3061" s="138">
        <v>1403</v>
      </c>
      <c r="I3061" s="139" t="e">
        <f>VLOOKUP(H3061,Stock_list!A:R,18,FALSE)</f>
        <v>#N/A</v>
      </c>
      <c r="J3061" s="139" t="e">
        <f>VLOOKUP(H3061,Stock_list!A:S,17,FALSE)</f>
        <v>#N/A</v>
      </c>
      <c r="K3061" s="51" t="e">
        <f>VLOOKUP(H3061,Stock_list!A:T,16,FALSE)</f>
        <v>#N/A</v>
      </c>
      <c r="L3061" s="4">
        <v>44357</v>
      </c>
      <c r="O3061" s="132">
        <f>40-40</f>
        <v>0</v>
      </c>
      <c r="P3061" s="4" t="e">
        <f>VLOOKUP(H3061,Stock_list!A:Y,25,FALSE)</f>
        <v>#N/A</v>
      </c>
      <c r="Q3061" s="143"/>
      <c r="T3061" s="144"/>
      <c r="U3061" s="145" t="e">
        <f>VLOOKUP(H3061,Stock_list!A:N,14,FALSE)</f>
        <v>#N/A</v>
      </c>
    </row>
    <row r="3062" spans="1:21" ht="16.5" customHeight="1">
      <c r="A3062" s="159" t="s">
        <v>264</v>
      </c>
      <c r="B3062" s="114" t="str">
        <f>VLOOKUP(A3062,'Data pick slip'!B:F,5,FALSE)</f>
        <v>KHJ-MC200-00</v>
      </c>
      <c r="F3062" s="157" t="s">
        <v>270</v>
      </c>
      <c r="H3062" s="138">
        <v>1403</v>
      </c>
      <c r="I3062" s="139" t="e">
        <f>VLOOKUP(H3062,Stock_list!A:R,18,FALSE)</f>
        <v>#N/A</v>
      </c>
      <c r="J3062" s="139" t="e">
        <f>VLOOKUP(H3062,Stock_list!A:S,17,FALSE)</f>
        <v>#N/A</v>
      </c>
      <c r="K3062" s="51" t="e">
        <f>VLOOKUP(H3062,Stock_list!A:T,16,FALSE)</f>
        <v>#N/A</v>
      </c>
      <c r="L3062" s="4">
        <v>44357</v>
      </c>
      <c r="O3062" s="132">
        <f>10-10</f>
        <v>0</v>
      </c>
      <c r="P3062" s="4" t="e">
        <f>VLOOKUP(H3062,Stock_list!A:Y,25,FALSE)</f>
        <v>#N/A</v>
      </c>
      <c r="Q3062" s="143"/>
      <c r="T3062" s="144"/>
      <c r="U3062" s="145" t="e">
        <f>VLOOKUP(H3062,Stock_list!A:N,14,FALSE)</f>
        <v>#N/A</v>
      </c>
    </row>
    <row r="3063" spans="1:21" ht="16.5" customHeight="1">
      <c r="A3063" s="159" t="s">
        <v>265</v>
      </c>
      <c r="B3063" s="114" t="str">
        <f>VLOOKUP(A3063,'Data pick slip'!B:F,5,FALSE)</f>
        <v>KHJ-MC400-00</v>
      </c>
      <c r="F3063" s="157" t="s">
        <v>270</v>
      </c>
      <c r="H3063" s="138">
        <v>1403</v>
      </c>
      <c r="I3063" s="139" t="e">
        <f>VLOOKUP(H3063,Stock_list!A:R,18,FALSE)</f>
        <v>#N/A</v>
      </c>
      <c r="J3063" s="139" t="e">
        <f>VLOOKUP(H3063,Stock_list!A:S,17,FALSE)</f>
        <v>#N/A</v>
      </c>
      <c r="K3063" s="51" t="e">
        <f>VLOOKUP(H3063,Stock_list!A:T,16,FALSE)</f>
        <v>#N/A</v>
      </c>
      <c r="L3063" s="4">
        <v>44357</v>
      </c>
      <c r="O3063" s="132">
        <f>3-3</f>
        <v>0</v>
      </c>
      <c r="P3063" s="4" t="e">
        <f>VLOOKUP(H3063,Stock_list!A:Y,25,FALSE)</f>
        <v>#N/A</v>
      </c>
      <c r="Q3063" s="143"/>
      <c r="T3063" s="144"/>
      <c r="U3063" s="145" t="e">
        <f>VLOOKUP(H3063,Stock_list!A:N,14,FALSE)</f>
        <v>#N/A</v>
      </c>
    </row>
    <row r="3064" spans="1:21" ht="16.5" customHeight="1">
      <c r="A3064" s="159" t="s">
        <v>266</v>
      </c>
      <c r="B3064" s="114" t="str">
        <f>VLOOKUP(A3064,'Data pick slip'!B:F,5,FALSE)</f>
        <v>KHJ-MC500-00</v>
      </c>
      <c r="F3064" s="157" t="s">
        <v>270</v>
      </c>
      <c r="H3064" s="138">
        <v>1403</v>
      </c>
      <c r="I3064" s="139" t="e">
        <f>VLOOKUP(H3064,Stock_list!A:R,18,FALSE)</f>
        <v>#N/A</v>
      </c>
      <c r="J3064" s="139" t="e">
        <f>VLOOKUP(H3064,Stock_list!A:S,17,FALSE)</f>
        <v>#N/A</v>
      </c>
      <c r="K3064" s="51" t="e">
        <f>VLOOKUP(H3064,Stock_list!A:T,16,FALSE)</f>
        <v>#N/A</v>
      </c>
      <c r="L3064" s="4">
        <v>44357</v>
      </c>
      <c r="O3064" s="132">
        <f>3-3</f>
        <v>0</v>
      </c>
      <c r="P3064" s="4" t="e">
        <f>VLOOKUP(H3064,Stock_list!A:Y,25,FALSE)</f>
        <v>#N/A</v>
      </c>
      <c r="Q3064" s="143"/>
      <c r="T3064" s="144"/>
      <c r="U3064" s="145" t="e">
        <f>VLOOKUP(H3064,Stock_list!A:N,14,FALSE)</f>
        <v>#N/A</v>
      </c>
    </row>
    <row r="3065" spans="1:21" ht="16.5" customHeight="1">
      <c r="A3065" s="159" t="s">
        <v>267</v>
      </c>
      <c r="B3065" s="114" t="str">
        <f>VLOOKUP(A3065,'Data pick slip'!B:F,5,FALSE)</f>
        <v>KHJ-MC600-00</v>
      </c>
      <c r="F3065" s="157" t="s">
        <v>270</v>
      </c>
      <c r="H3065" s="138">
        <v>1403</v>
      </c>
      <c r="I3065" s="139" t="e">
        <f>VLOOKUP(H3065,Stock_list!A:R,18,FALSE)</f>
        <v>#N/A</v>
      </c>
      <c r="J3065" s="139" t="e">
        <f>VLOOKUP(H3065,Stock_list!A:S,17,FALSE)</f>
        <v>#N/A</v>
      </c>
      <c r="K3065" s="51" t="e">
        <f>VLOOKUP(H3065,Stock_list!A:T,16,FALSE)</f>
        <v>#N/A</v>
      </c>
      <c r="L3065" s="4">
        <v>44357</v>
      </c>
      <c r="O3065" s="132">
        <f>2-2</f>
        <v>0</v>
      </c>
      <c r="P3065" s="4" t="e">
        <f>VLOOKUP(H3065,Stock_list!A:Y,25,FALSE)</f>
        <v>#N/A</v>
      </c>
      <c r="Q3065" s="143"/>
      <c r="T3065" s="144"/>
      <c r="U3065" s="145" t="e">
        <f>VLOOKUP(H3065,Stock_list!A:N,14,FALSE)</f>
        <v>#N/A</v>
      </c>
    </row>
    <row r="3066" spans="1:21" ht="16.5" customHeight="1">
      <c r="A3066" s="159" t="s">
        <v>265</v>
      </c>
      <c r="B3066" s="114" t="str">
        <f>VLOOKUP(A3066,'Data pick slip'!B:F,5,FALSE)</f>
        <v>KHJ-MC400-00</v>
      </c>
      <c r="F3066" s="157" t="s">
        <v>270</v>
      </c>
      <c r="I3066" s="139" t="s">
        <v>611</v>
      </c>
      <c r="J3066" s="267" t="s">
        <v>965</v>
      </c>
      <c r="K3066" s="51" t="s">
        <v>225</v>
      </c>
      <c r="L3066" s="4">
        <v>44344</v>
      </c>
      <c r="M3066" s="140">
        <v>2</v>
      </c>
      <c r="P3066" s="4" t="s">
        <v>214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264</v>
      </c>
      <c r="B3067" s="114" t="str">
        <f>VLOOKUP(A3067,'Data pick slip'!B:F,5,FALSE)</f>
        <v>KHJ-MC200-00</v>
      </c>
      <c r="F3067" s="157" t="s">
        <v>270</v>
      </c>
      <c r="I3067" s="139" t="s">
        <v>617</v>
      </c>
      <c r="J3067" s="267" t="s">
        <v>966</v>
      </c>
      <c r="K3067" s="51" t="s">
        <v>225</v>
      </c>
      <c r="L3067" s="4">
        <v>44340</v>
      </c>
      <c r="M3067" s="140">
        <v>2</v>
      </c>
      <c r="P3067" s="4" t="s">
        <v>214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265</v>
      </c>
      <c r="B3068" s="114" t="str">
        <f>VLOOKUP(A3068,'Data pick slip'!B:F,5,FALSE)</f>
        <v>KHJ-MC400-00</v>
      </c>
      <c r="F3068" s="157" t="s">
        <v>270</v>
      </c>
      <c r="I3068" s="139" t="s">
        <v>617</v>
      </c>
      <c r="J3068" s="267" t="s">
        <v>966</v>
      </c>
      <c r="K3068" s="51" t="s">
        <v>225</v>
      </c>
      <c r="L3068" s="4">
        <v>44340</v>
      </c>
      <c r="M3068" s="140">
        <v>2</v>
      </c>
      <c r="P3068" s="4" t="s">
        <v>214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265</v>
      </c>
      <c r="B3069" s="114" t="str">
        <f>VLOOKUP(A3069,'Data pick slip'!B:F,5,FALSE)</f>
        <v>KHJ-MC400-00</v>
      </c>
      <c r="F3069" s="157" t="s">
        <v>270</v>
      </c>
      <c r="I3069" s="139" t="s">
        <v>617</v>
      </c>
      <c r="J3069" s="267" t="s">
        <v>967</v>
      </c>
      <c r="K3069" s="51" t="s">
        <v>225</v>
      </c>
      <c r="L3069" s="4">
        <v>44347</v>
      </c>
      <c r="M3069" s="140">
        <v>2</v>
      </c>
      <c r="P3069" s="4" t="s">
        <v>214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271</v>
      </c>
      <c r="B3070" s="114" t="str">
        <f>VLOOKUP(A3070,'Data pick slip'!B:F,5,FALSE)</f>
        <v>KLJ-MCN00-20</v>
      </c>
      <c r="F3070" s="157" t="s">
        <v>270</v>
      </c>
      <c r="H3070" s="138">
        <v>1406</v>
      </c>
      <c r="I3070" s="139" t="e">
        <f>VLOOKUP(H3070,Stock_list!A:R,18,FALSE)</f>
        <v>#N/A</v>
      </c>
      <c r="J3070" s="139" t="e">
        <f>VLOOKUP(H3070,Stock_list!A:S,17,FALSE)</f>
        <v>#N/A</v>
      </c>
      <c r="K3070" s="51" t="e">
        <f>VLOOKUP(H3070,Stock_list!A:T,16,FALSE)</f>
        <v>#N/A</v>
      </c>
      <c r="L3070" s="4">
        <v>44530</v>
      </c>
      <c r="M3070" s="132">
        <v>2</v>
      </c>
      <c r="P3070" s="4" t="e">
        <f>VLOOKUP(H3070,Stock_list!A:Y,25,FALSE)</f>
        <v>#N/A</v>
      </c>
      <c r="Q3070" s="143"/>
      <c r="S3070" s="268" t="s">
        <v>295</v>
      </c>
      <c r="T3070" s="266" t="s">
        <v>968</v>
      </c>
      <c r="U3070" s="145" t="e">
        <f>VLOOKUP(H3070,Stock_list!A:N,14,FALSE)</f>
        <v>#N/A</v>
      </c>
    </row>
    <row r="3071" spans="1:21" ht="16.5" customHeight="1">
      <c r="A3071" s="159" t="s">
        <v>285</v>
      </c>
      <c r="B3071" s="114" t="str">
        <f>VLOOKUP(A3071,'Data pick slip'!B:F,5,FALSE)</f>
        <v>KHJ-MC100-00</v>
      </c>
      <c r="F3071" s="157" t="s">
        <v>227</v>
      </c>
      <c r="H3071" s="138">
        <v>1406</v>
      </c>
      <c r="I3071" s="139" t="e">
        <f>VLOOKUP(H3071,Stock_list!A:R,18,FALSE)</f>
        <v>#N/A</v>
      </c>
      <c r="J3071" s="139" t="e">
        <f>VLOOKUP(H3071,Stock_list!A:S,17,FALSE)</f>
        <v>#N/A</v>
      </c>
      <c r="K3071" s="51" t="e">
        <f>VLOOKUP(H3071,Stock_list!A:T,16,FALSE)</f>
        <v>#N/A</v>
      </c>
      <c r="L3071" s="287">
        <v>44530</v>
      </c>
      <c r="M3071" s="284">
        <v>200</v>
      </c>
      <c r="P3071" s="4" t="e">
        <f>VLOOKUP(H3071,Stock_list!A:Y,25,FALSE)</f>
        <v>#N/A</v>
      </c>
      <c r="Q3071" s="143"/>
      <c r="T3071" s="144"/>
      <c r="U3071" s="145" t="e">
        <f>VLOOKUP(H3071,Stock_list!A:N,14,FALSE)</f>
        <v>#N/A</v>
      </c>
    </row>
    <row r="3072" spans="1:21" ht="16.5" customHeight="1">
      <c r="A3072" s="159" t="s">
        <v>264</v>
      </c>
      <c r="B3072" s="114" t="str">
        <f>VLOOKUP(A3072,'Data pick slip'!B:F,5,FALSE)</f>
        <v>KHJ-MC200-00</v>
      </c>
      <c r="F3072" s="157" t="s">
        <v>227</v>
      </c>
      <c r="H3072" s="138">
        <v>1406</v>
      </c>
      <c r="I3072" s="139" t="e">
        <f>VLOOKUP(H3072,Stock_list!A:R,18,FALSE)</f>
        <v>#N/A</v>
      </c>
      <c r="J3072" s="139" t="e">
        <f>VLOOKUP(H3072,Stock_list!A:S,17,FALSE)</f>
        <v>#N/A</v>
      </c>
      <c r="K3072" s="259" t="e">
        <f>VLOOKUP(H3072,Stock_list!A:T,16,FALSE)</f>
        <v>#N/A</v>
      </c>
      <c r="L3072" s="287">
        <v>44530</v>
      </c>
      <c r="M3072" s="284">
        <v>40</v>
      </c>
      <c r="P3072" s="4" t="e">
        <f>VLOOKUP(H3072,Stock_list!A:Y,25,FALSE)</f>
        <v>#N/A</v>
      </c>
      <c r="Q3072" s="143"/>
      <c r="T3072" s="144"/>
      <c r="U3072" s="145" t="e">
        <f>VLOOKUP(H3072,Stock_list!A:N,14,FALSE)</f>
        <v>#N/A</v>
      </c>
    </row>
    <row r="3073" spans="1:21" ht="16.5" customHeight="1">
      <c r="A3073" s="159" t="s">
        <v>265</v>
      </c>
      <c r="B3073" s="114" t="str">
        <f>VLOOKUP(A3073,'Data pick slip'!B:F,5,FALSE)</f>
        <v>KHJ-MC400-00</v>
      </c>
      <c r="F3073" s="157" t="s">
        <v>227</v>
      </c>
      <c r="H3073" s="138">
        <v>1406</v>
      </c>
      <c r="I3073" s="139" t="e">
        <f>VLOOKUP(H3073,Stock_list!A:R,18,FALSE)</f>
        <v>#N/A</v>
      </c>
      <c r="J3073" s="139" t="e">
        <f>VLOOKUP(H3073,Stock_list!A:S,17,FALSE)</f>
        <v>#N/A</v>
      </c>
      <c r="K3073" s="51" t="e">
        <f>VLOOKUP(H3073,Stock_list!A:T,16,FALSE)</f>
        <v>#N/A</v>
      </c>
      <c r="L3073" s="287">
        <v>44530</v>
      </c>
      <c r="M3073" s="284">
        <v>12</v>
      </c>
      <c r="P3073" s="4" t="e">
        <f>VLOOKUP(H3073,Stock_list!A:Y,25,FALSE)</f>
        <v>#N/A</v>
      </c>
      <c r="Q3073" s="143"/>
      <c r="T3073" s="144"/>
      <c r="U3073" s="145" t="e">
        <f>VLOOKUP(H3073,Stock_list!A:N,14,FALSE)</f>
        <v>#N/A</v>
      </c>
    </row>
    <row r="3074" spans="1:21" ht="16.5" customHeight="1">
      <c r="A3074" s="159" t="s">
        <v>266</v>
      </c>
      <c r="B3074" s="114" t="str">
        <f>VLOOKUP(A3074,'Data pick slip'!B:F,5,FALSE)</f>
        <v>KHJ-MC500-00</v>
      </c>
      <c r="F3074" s="157" t="s">
        <v>227</v>
      </c>
      <c r="H3074" s="138">
        <v>1406</v>
      </c>
      <c r="I3074" s="139" t="e">
        <f>VLOOKUP(H3074,Stock_list!A:R,18,FALSE)</f>
        <v>#N/A</v>
      </c>
      <c r="J3074" s="139" t="e">
        <f>VLOOKUP(H3074,Stock_list!A:S,17,FALSE)</f>
        <v>#N/A</v>
      </c>
      <c r="K3074" s="51" t="e">
        <f>VLOOKUP(H3074,Stock_list!A:T,16,FALSE)</f>
        <v>#N/A</v>
      </c>
      <c r="L3074" s="4">
        <v>44530</v>
      </c>
      <c r="M3074" s="132">
        <v>2</v>
      </c>
      <c r="P3074" s="4" t="e">
        <f>VLOOKUP(H3074,Stock_list!A:Y,25,FALSE)</f>
        <v>#N/A</v>
      </c>
      <c r="Q3074" s="143"/>
      <c r="T3074" s="144"/>
      <c r="U3074" s="145" t="e">
        <f>VLOOKUP(H3074,Stock_list!A:N,14,FALSE)</f>
        <v>#N/A</v>
      </c>
    </row>
    <row r="3075" spans="1:21" ht="16.5" customHeight="1">
      <c r="A3075" s="159" t="s">
        <v>267</v>
      </c>
      <c r="B3075" s="114" t="str">
        <f>VLOOKUP(A3075,'Data pick slip'!B:F,5,FALSE)</f>
        <v>KHJ-MC600-00</v>
      </c>
      <c r="F3075" s="157" t="s">
        <v>227</v>
      </c>
      <c r="H3075" s="138">
        <v>1406</v>
      </c>
      <c r="I3075" s="139" t="e">
        <f>VLOOKUP(H3075,Stock_list!A:R,18,FALSE)</f>
        <v>#N/A</v>
      </c>
      <c r="J3075" s="139" t="e">
        <f>VLOOKUP(H3075,Stock_list!A:S,17,FALSE)</f>
        <v>#N/A</v>
      </c>
      <c r="K3075" s="51" t="e">
        <f>VLOOKUP(H3075,Stock_list!A:T,16,FALSE)</f>
        <v>#N/A</v>
      </c>
      <c r="L3075" s="4">
        <v>44530</v>
      </c>
      <c r="M3075" s="132">
        <v>1</v>
      </c>
      <c r="P3075" s="4" t="e">
        <f>VLOOKUP(H3075,Stock_list!A:Y,25,FALSE)</f>
        <v>#N/A</v>
      </c>
      <c r="Q3075" s="143"/>
      <c r="T3075" s="144"/>
      <c r="U3075" s="145" t="e">
        <f>VLOOKUP(H3075,Stock_list!A:N,14,FALSE)</f>
        <v>#N/A</v>
      </c>
    </row>
    <row r="3076" spans="1:21" ht="16.5" customHeight="1">
      <c r="A3076" s="159" t="s">
        <v>268</v>
      </c>
      <c r="B3076" s="114" t="str">
        <f>VLOOKUP(A3076,'Data pick slip'!B:F,5,FALSE)</f>
        <v>KHJ-MC700-00</v>
      </c>
      <c r="F3076" s="157" t="s">
        <v>227</v>
      </c>
      <c r="H3076" s="138">
        <v>1406</v>
      </c>
      <c r="I3076" s="139" t="e">
        <f>VLOOKUP(H3076,Stock_list!A:R,18,FALSE)</f>
        <v>#N/A</v>
      </c>
      <c r="J3076" s="139" t="e">
        <f>VLOOKUP(H3076,Stock_list!A:S,17,FALSE)</f>
        <v>#N/A</v>
      </c>
      <c r="K3076" s="51" t="e">
        <f>VLOOKUP(H3076,Stock_list!A:T,16,FALSE)</f>
        <v>#N/A</v>
      </c>
      <c r="L3076" s="4">
        <v>44530</v>
      </c>
      <c r="M3076" s="132">
        <v>1</v>
      </c>
      <c r="P3076" s="4" t="e">
        <f>VLOOKUP(H3076,Stock_list!A:Y,25,FALSE)</f>
        <v>#N/A</v>
      </c>
      <c r="Q3076" s="143"/>
      <c r="T3076" s="144"/>
      <c r="U3076" s="145" t="e">
        <f>VLOOKUP(H3076,Stock_list!A:N,14,FALSE)</f>
        <v>#N/A</v>
      </c>
    </row>
    <row r="3077" spans="1:21" ht="16.5" customHeight="1">
      <c r="A3077" s="159" t="s">
        <v>269</v>
      </c>
      <c r="B3077" s="114" t="str">
        <f>VLOOKUP(A3077,'Data pick slip'!B:F,5,FALSE)</f>
        <v>KHJ-MC800-00</v>
      </c>
      <c r="F3077" s="157" t="s">
        <v>227</v>
      </c>
      <c r="H3077" s="138">
        <v>1406</v>
      </c>
      <c r="I3077" s="139" t="e">
        <f>VLOOKUP(H3077,Stock_list!A:R,18,FALSE)</f>
        <v>#N/A</v>
      </c>
      <c r="J3077" s="139" t="e">
        <f>VLOOKUP(H3077,Stock_list!A:S,17,FALSE)</f>
        <v>#N/A</v>
      </c>
      <c r="K3077" s="51" t="e">
        <f>VLOOKUP(H3077,Stock_list!A:T,16,FALSE)</f>
        <v>#N/A</v>
      </c>
      <c r="L3077" s="4">
        <v>44530</v>
      </c>
      <c r="M3077" s="132">
        <v>1</v>
      </c>
      <c r="P3077" s="4" t="e">
        <f>VLOOKUP(H3077,Stock_list!A:Y,25,FALSE)</f>
        <v>#N/A</v>
      </c>
      <c r="Q3077" s="143"/>
      <c r="T3077" s="144"/>
      <c r="U3077" s="145" t="e">
        <f>VLOOKUP(H3077,Stock_list!A:N,14,FALSE)</f>
        <v>#N/A</v>
      </c>
    </row>
    <row r="3078" spans="1:21" ht="16.5" customHeight="1">
      <c r="A3078" s="159" t="s">
        <v>285</v>
      </c>
      <c r="B3078" s="114" t="str">
        <f>VLOOKUP(A3078,'Data pick slip'!B:F,5,FALSE)</f>
        <v>KHJ-MC100-00</v>
      </c>
      <c r="F3078" s="157" t="s">
        <v>270</v>
      </c>
      <c r="I3078" s="139" t="s">
        <v>617</v>
      </c>
      <c r="J3078" s="267" t="s">
        <v>969</v>
      </c>
      <c r="K3078" s="51" t="s">
        <v>225</v>
      </c>
      <c r="L3078" s="4">
        <v>44350</v>
      </c>
      <c r="M3078" s="140">
        <v>30</v>
      </c>
      <c r="P3078" s="4" t="s">
        <v>214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266</v>
      </c>
      <c r="B3079" s="114" t="str">
        <f>VLOOKUP(A3079,'Data pick slip'!B:F,5,FALSE)</f>
        <v>KHJ-MC500-00</v>
      </c>
      <c r="F3079" s="157" t="s">
        <v>270</v>
      </c>
      <c r="I3079" s="139" t="s">
        <v>970</v>
      </c>
      <c r="J3079" s="267" t="s">
        <v>971</v>
      </c>
      <c r="K3079" s="51" t="s">
        <v>225</v>
      </c>
      <c r="L3079" s="4">
        <v>44357</v>
      </c>
      <c r="M3079" s="140">
        <v>1</v>
      </c>
      <c r="P3079" s="4" t="s">
        <v>214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261</v>
      </c>
      <c r="B3080" s="114" t="str">
        <f>VLOOKUP(A3080,'Data pick slip'!B:F,5,FALSE)</f>
        <v>KHJ-MC100-00</v>
      </c>
      <c r="F3080" s="157" t="s">
        <v>270</v>
      </c>
      <c r="I3080" s="139" t="s">
        <v>808</v>
      </c>
      <c r="J3080" s="139" t="s">
        <v>972</v>
      </c>
      <c r="K3080" s="51" t="s">
        <v>225</v>
      </c>
      <c r="L3080" s="4">
        <v>44357</v>
      </c>
      <c r="M3080" s="140">
        <v>30</v>
      </c>
      <c r="P3080" s="4" t="s">
        <v>214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285</v>
      </c>
      <c r="B3081" s="114" t="str">
        <f>VLOOKUP(A3081,'Data pick slip'!B:F,5,FALSE)</f>
        <v>KHJ-MC100-00</v>
      </c>
      <c r="F3081" s="157" t="s">
        <v>227</v>
      </c>
      <c r="H3081" s="138">
        <v>1408</v>
      </c>
      <c r="I3081" s="139" t="e">
        <f>VLOOKUP(H3081,Stock_list!A:R,18,FALSE)</f>
        <v>#N/A</v>
      </c>
      <c r="J3081" s="139" t="e">
        <f>VLOOKUP(H3081,Stock_list!A:S,17,FALSE)</f>
        <v>#N/A</v>
      </c>
      <c r="K3081" s="51" t="e">
        <f>VLOOKUP(H3081,Stock_list!A:T,16,FALSE)</f>
        <v>#N/A</v>
      </c>
      <c r="L3081" s="4">
        <v>44645</v>
      </c>
      <c r="M3081" s="132">
        <v>80</v>
      </c>
      <c r="P3081" s="4" t="e">
        <f>VLOOKUP(H3081,Stock_list!A:Y,25,FALSE)</f>
        <v>#N/A</v>
      </c>
      <c r="Q3081" s="143"/>
      <c r="T3081" s="144"/>
      <c r="U3081" s="145" t="e">
        <f>VLOOKUP(H3081,Stock_list!A:N,14,FALSE)</f>
        <v>#N/A</v>
      </c>
    </row>
    <row r="3082" spans="1:21" ht="16.5" customHeight="1">
      <c r="A3082" s="159" t="s">
        <v>264</v>
      </c>
      <c r="B3082" s="114" t="str">
        <f>VLOOKUP(A3082,'Data pick slip'!B:F,5,FALSE)</f>
        <v>KHJ-MC200-00</v>
      </c>
      <c r="F3082" s="157" t="s">
        <v>227</v>
      </c>
      <c r="H3082" s="138">
        <v>1408</v>
      </c>
      <c r="I3082" s="139" t="e">
        <f>VLOOKUP(H3082,Stock_list!A:R,18,FALSE)</f>
        <v>#N/A</v>
      </c>
      <c r="J3082" s="139" t="e">
        <f>VLOOKUP(H3082,Stock_list!A:S,17,FALSE)</f>
        <v>#N/A</v>
      </c>
      <c r="K3082" s="51" t="e">
        <f>VLOOKUP(H3082,Stock_list!A:T,16,FALSE)</f>
        <v>#N/A</v>
      </c>
      <c r="L3082" s="4">
        <v>44645</v>
      </c>
      <c r="M3082" s="132">
        <v>14</v>
      </c>
      <c r="P3082" s="4" t="e">
        <f>VLOOKUP(H3082,Stock_list!A:Y,25,FALSE)</f>
        <v>#N/A</v>
      </c>
      <c r="Q3082" s="143"/>
      <c r="T3082" s="144"/>
      <c r="U3082" s="145" t="e">
        <f>VLOOKUP(H3082,Stock_list!A:N,14,FALSE)</f>
        <v>#N/A</v>
      </c>
    </row>
    <row r="3083" spans="1:21" ht="16.5" customHeight="1">
      <c r="A3083" s="159" t="s">
        <v>266</v>
      </c>
      <c r="B3083" s="114" t="str">
        <f>VLOOKUP(A3083,'Data pick slip'!B:F,5,FALSE)</f>
        <v>KHJ-MC500-00</v>
      </c>
      <c r="F3083" s="157" t="s">
        <v>227</v>
      </c>
      <c r="H3083" s="138">
        <v>1408</v>
      </c>
      <c r="I3083" s="139" t="e">
        <f>VLOOKUP(H3083,Stock_list!A:R,18,FALSE)</f>
        <v>#N/A</v>
      </c>
      <c r="J3083" s="139" t="e">
        <f>VLOOKUP(H3083,Stock_list!A:S,17,FALSE)</f>
        <v>#N/A</v>
      </c>
      <c r="K3083" s="51" t="e">
        <f>VLOOKUP(H3083,Stock_list!A:T,16,FALSE)</f>
        <v>#N/A</v>
      </c>
      <c r="L3083" s="4">
        <v>44645</v>
      </c>
      <c r="M3083" s="132">
        <v>4</v>
      </c>
      <c r="P3083" s="4" t="e">
        <f>VLOOKUP(H3083,Stock_list!A:Y,25,FALSE)</f>
        <v>#N/A</v>
      </c>
      <c r="Q3083" s="143"/>
      <c r="T3083" s="144"/>
      <c r="U3083" s="145" t="e">
        <f>VLOOKUP(H3083,Stock_list!A:N,14,FALSE)</f>
        <v>#N/A</v>
      </c>
    </row>
    <row r="3084" spans="1:21" ht="16.5" customHeight="1">
      <c r="A3084" s="159" t="s">
        <v>267</v>
      </c>
      <c r="B3084" s="114" t="str">
        <f>VLOOKUP(A3084,'Data pick slip'!B:F,5,FALSE)</f>
        <v>KHJ-MC600-00</v>
      </c>
      <c r="F3084" s="157" t="s">
        <v>227</v>
      </c>
      <c r="H3084" s="138">
        <v>1408</v>
      </c>
      <c r="I3084" s="139" t="e">
        <f>VLOOKUP(H3084,Stock_list!A:R,18,FALSE)</f>
        <v>#N/A</v>
      </c>
      <c r="J3084" s="139" t="e">
        <f>VLOOKUP(H3084,Stock_list!A:S,17,FALSE)</f>
        <v>#N/A</v>
      </c>
      <c r="K3084" s="51" t="e">
        <f>VLOOKUP(H3084,Stock_list!A:T,16,FALSE)</f>
        <v>#N/A</v>
      </c>
      <c r="L3084" s="4">
        <v>44645</v>
      </c>
      <c r="M3084" s="132">
        <v>2</v>
      </c>
      <c r="P3084" s="4" t="e">
        <f>VLOOKUP(H3084,Stock_list!A:Y,25,FALSE)</f>
        <v>#N/A</v>
      </c>
      <c r="Q3084" s="143"/>
      <c r="T3084" s="144"/>
      <c r="U3084" s="145" t="e">
        <f>VLOOKUP(H3084,Stock_list!A:N,14,FALSE)</f>
        <v>#N/A</v>
      </c>
    </row>
    <row r="3085" spans="1:21" ht="16.5" customHeight="1">
      <c r="A3085" s="159" t="s">
        <v>285</v>
      </c>
      <c r="B3085" s="114" t="str">
        <f>VLOOKUP(A3085,'Data pick slip'!B:F,5,FALSE)</f>
        <v>KHJ-MC100-00</v>
      </c>
      <c r="F3085" s="157" t="s">
        <v>227</v>
      </c>
      <c r="H3085" s="138">
        <v>1411</v>
      </c>
      <c r="I3085" s="139" t="e">
        <f>VLOOKUP(H3085,Stock_list!A:R,18,FALSE)</f>
        <v>#N/A</v>
      </c>
      <c r="J3085" s="139" t="e">
        <f>VLOOKUP(H3085,Stock_list!A:S,17,FALSE)</f>
        <v>#N/A</v>
      </c>
      <c r="K3085" s="51" t="e">
        <f>VLOOKUP(H3085,Stock_list!A:T,16,FALSE)</f>
        <v>#N/A</v>
      </c>
      <c r="L3085" s="4">
        <v>44571</v>
      </c>
      <c r="M3085" s="140">
        <v>15</v>
      </c>
      <c r="P3085" s="4" t="e">
        <f>VLOOKUP(H3085,Stock_list!A:Y,25,FALSE)</f>
        <v>#N/A</v>
      </c>
      <c r="Q3085" s="143"/>
      <c r="T3085" s="144"/>
      <c r="U3085" s="145" t="e">
        <f>VLOOKUP(H3085,Stock_list!A:N,14,FALSE)</f>
        <v>#N/A</v>
      </c>
    </row>
    <row r="3086" spans="1:21" ht="16.5" customHeight="1">
      <c r="A3086" s="159" t="s">
        <v>264</v>
      </c>
      <c r="B3086" s="114" t="str">
        <f>VLOOKUP(A3086,'Data pick slip'!B:F,5,FALSE)</f>
        <v>KHJ-MC200-00</v>
      </c>
      <c r="F3086" s="157" t="s">
        <v>227</v>
      </c>
      <c r="H3086" s="138">
        <v>1411</v>
      </c>
      <c r="I3086" s="139" t="e">
        <f>VLOOKUP(H3086,Stock_list!A:R,18,FALSE)</f>
        <v>#N/A</v>
      </c>
      <c r="J3086" s="139" t="e">
        <f>VLOOKUP(H3086,Stock_list!A:S,17,FALSE)</f>
        <v>#N/A</v>
      </c>
      <c r="K3086" s="51" t="e">
        <f>VLOOKUP(H3086,Stock_list!A:T,16,FALSE)</f>
        <v>#N/A</v>
      </c>
      <c r="L3086" s="4">
        <v>44571</v>
      </c>
      <c r="M3086" s="140">
        <v>4</v>
      </c>
      <c r="P3086" s="4" t="e">
        <f>VLOOKUP(H3086,Stock_list!A:Y,25,FALSE)</f>
        <v>#N/A</v>
      </c>
      <c r="Q3086" s="143"/>
      <c r="T3086" s="144"/>
      <c r="U3086" s="145" t="e">
        <f>VLOOKUP(H3086,Stock_list!A:N,14,FALSE)</f>
        <v>#N/A</v>
      </c>
    </row>
    <row r="3087" spans="1:21" ht="16.5" customHeight="1">
      <c r="A3087" s="159" t="s">
        <v>265</v>
      </c>
      <c r="B3087" s="114" t="str">
        <f>VLOOKUP(A3087,'Data pick slip'!B:F,5,FALSE)</f>
        <v>KHJ-MC400-00</v>
      </c>
      <c r="F3087" s="157" t="s">
        <v>227</v>
      </c>
      <c r="H3087" s="138">
        <v>1411</v>
      </c>
      <c r="I3087" s="139" t="e">
        <f>VLOOKUP(H3087,Stock_list!A:R,18,FALSE)</f>
        <v>#N/A</v>
      </c>
      <c r="J3087" s="139" t="e">
        <f>VLOOKUP(H3087,Stock_list!A:S,17,FALSE)</f>
        <v>#N/A</v>
      </c>
      <c r="K3087" s="51" t="e">
        <f>VLOOKUP(H3087,Stock_list!A:T,16,FALSE)</f>
        <v>#N/A</v>
      </c>
      <c r="L3087" s="4">
        <v>44571</v>
      </c>
      <c r="M3087" s="140">
        <v>1</v>
      </c>
      <c r="P3087" s="4" t="e">
        <f>VLOOKUP(H3087,Stock_list!A:Y,25,FALSE)</f>
        <v>#N/A</v>
      </c>
      <c r="Q3087" s="143"/>
      <c r="T3087" s="144"/>
      <c r="U3087" s="145" t="e">
        <f>VLOOKUP(H3087,Stock_list!A:N,14,FALSE)</f>
        <v>#N/A</v>
      </c>
    </row>
    <row r="3088" spans="1:21" ht="16.5" customHeight="1">
      <c r="A3088" s="159" t="s">
        <v>285</v>
      </c>
      <c r="B3088" s="114" t="str">
        <f>VLOOKUP(A3088,'Data pick slip'!B:F,5,FALSE)</f>
        <v>KHJ-MC100-00</v>
      </c>
      <c r="F3088" s="157" t="s">
        <v>227</v>
      </c>
      <c r="H3088" s="138">
        <v>1412</v>
      </c>
      <c r="I3088" s="139" t="e">
        <f>VLOOKUP(H3088,Stock_list!A:R,18,FALSE)</f>
        <v>#N/A</v>
      </c>
      <c r="J3088" s="139" t="e">
        <f>VLOOKUP(H3088,Stock_list!A:S,17,FALSE)</f>
        <v>#N/A</v>
      </c>
      <c r="K3088" s="51" t="e">
        <f>VLOOKUP(H3088,Stock_list!A:T,16,FALSE)</f>
        <v>#N/A</v>
      </c>
      <c r="L3088" s="4">
        <v>44379</v>
      </c>
      <c r="M3088" s="140">
        <v>60</v>
      </c>
      <c r="P3088" s="4" t="e">
        <f>VLOOKUP(H3088,Stock_list!A:Y,25,FALSE)</f>
        <v>#N/A</v>
      </c>
      <c r="Q3088" s="143"/>
      <c r="T3088" s="144"/>
      <c r="U3088" s="145" t="e">
        <f>VLOOKUP(H3088,Stock_list!A:N,14,FALSE)</f>
        <v>#N/A</v>
      </c>
    </row>
    <row r="3089" spans="1:21" ht="16.5" customHeight="1">
      <c r="A3089" s="159" t="s">
        <v>264</v>
      </c>
      <c r="B3089" s="114" t="str">
        <f>VLOOKUP(A3089,'Data pick slip'!B:F,5,FALSE)</f>
        <v>KHJ-MC200-00</v>
      </c>
      <c r="F3089" s="157" t="s">
        <v>227</v>
      </c>
      <c r="H3089" s="138">
        <v>1412</v>
      </c>
      <c r="I3089" s="139" t="e">
        <f>VLOOKUP(H3089,Stock_list!A:R,18,FALSE)</f>
        <v>#N/A</v>
      </c>
      <c r="J3089" s="139" t="e">
        <f>VLOOKUP(H3089,Stock_list!A:S,17,FALSE)</f>
        <v>#N/A</v>
      </c>
      <c r="K3089" s="51" t="e">
        <f>VLOOKUP(H3089,Stock_list!A:T,16,FALSE)</f>
        <v>#N/A</v>
      </c>
      <c r="L3089" s="4">
        <v>44379</v>
      </c>
      <c r="M3089" s="140">
        <v>20</v>
      </c>
      <c r="P3089" s="4" t="e">
        <f>VLOOKUP(H3089,Stock_list!A:Y,25,FALSE)</f>
        <v>#N/A</v>
      </c>
      <c r="Q3089" s="143"/>
      <c r="T3089" s="144"/>
      <c r="U3089" s="145" t="e">
        <f>VLOOKUP(H3089,Stock_list!A:N,14,FALSE)</f>
        <v>#N/A</v>
      </c>
    </row>
    <row r="3090" spans="1:21" ht="16.5" customHeight="1">
      <c r="A3090" s="159" t="s">
        <v>265</v>
      </c>
      <c r="B3090" s="114" t="str">
        <f>VLOOKUP(A3090,'Data pick slip'!B:F,5,FALSE)</f>
        <v>KHJ-MC400-00</v>
      </c>
      <c r="F3090" s="157" t="s">
        <v>227</v>
      </c>
      <c r="H3090" s="138">
        <v>1412</v>
      </c>
      <c r="I3090" s="139" t="e">
        <f>VLOOKUP(H3090,Stock_list!A:R,18,FALSE)</f>
        <v>#N/A</v>
      </c>
      <c r="J3090" s="139" t="e">
        <f>VLOOKUP(H3090,Stock_list!A:S,17,FALSE)</f>
        <v>#N/A</v>
      </c>
      <c r="K3090" s="51" t="e">
        <f>VLOOKUP(H3090,Stock_list!A:T,16,FALSE)</f>
        <v>#N/A</v>
      </c>
      <c r="L3090" s="4">
        <v>44379</v>
      </c>
      <c r="M3090" s="140">
        <v>4</v>
      </c>
      <c r="P3090" s="4" t="e">
        <f>VLOOKUP(H3090,Stock_list!A:Y,25,FALSE)</f>
        <v>#N/A</v>
      </c>
      <c r="Q3090" s="143"/>
      <c r="T3090" s="144"/>
      <c r="U3090" s="145" t="e">
        <f>VLOOKUP(H3090,Stock_list!A:N,14,FALSE)</f>
        <v>#N/A</v>
      </c>
    </row>
    <row r="3091" spans="1:21" ht="16.5" customHeight="1">
      <c r="A3091" s="159" t="s">
        <v>266</v>
      </c>
      <c r="B3091" s="114" t="str">
        <f>VLOOKUP(A3091,'Data pick slip'!B:F,5,FALSE)</f>
        <v>KHJ-MC500-00</v>
      </c>
      <c r="F3091" s="157" t="s">
        <v>227</v>
      </c>
      <c r="H3091" s="138">
        <v>1412</v>
      </c>
      <c r="I3091" s="139" t="e">
        <f>VLOOKUP(H3091,Stock_list!A:R,18,FALSE)</f>
        <v>#N/A</v>
      </c>
      <c r="J3091" s="139" t="e">
        <f>VLOOKUP(H3091,Stock_list!A:S,17,FALSE)</f>
        <v>#N/A</v>
      </c>
      <c r="K3091" s="51" t="e">
        <f>VLOOKUP(H3091,Stock_list!A:T,16,FALSE)</f>
        <v>#N/A</v>
      </c>
      <c r="L3091" s="4">
        <v>44379</v>
      </c>
      <c r="M3091" s="140">
        <v>4</v>
      </c>
      <c r="P3091" s="4" t="e">
        <f>VLOOKUP(H3091,Stock_list!A:Y,25,FALSE)</f>
        <v>#N/A</v>
      </c>
      <c r="Q3091" s="143"/>
      <c r="T3091" s="144"/>
      <c r="U3091" s="145" t="e">
        <f>VLOOKUP(H3091,Stock_list!A:N,14,FALSE)</f>
        <v>#N/A</v>
      </c>
    </row>
    <row r="3092" spans="1:21" ht="16.5" customHeight="1">
      <c r="A3092" s="159" t="s">
        <v>285</v>
      </c>
      <c r="B3092" s="114" t="str">
        <f>VLOOKUP(A3092,'Data pick slip'!B:F,5,FALSE)</f>
        <v>KHJ-MC100-00</v>
      </c>
      <c r="F3092" s="157" t="s">
        <v>227</v>
      </c>
      <c r="H3092" s="138">
        <v>1414</v>
      </c>
      <c r="I3092" s="139" t="e">
        <f>VLOOKUP(H3092,Stock_list!A:R,18,FALSE)</f>
        <v>#N/A</v>
      </c>
      <c r="J3092" s="139" t="e">
        <f>VLOOKUP(H3092,Stock_list!A:S,17,FALSE)</f>
        <v>#N/A</v>
      </c>
      <c r="K3092" s="51" t="e">
        <f>VLOOKUP(H3092,Stock_list!A:T,16,FALSE)</f>
        <v>#N/A</v>
      </c>
      <c r="L3092" s="4">
        <v>44580</v>
      </c>
      <c r="M3092" s="140">
        <v>130</v>
      </c>
      <c r="P3092" s="4" t="e">
        <f>VLOOKUP(H3092,Stock_list!A:Y,25,FALSE)</f>
        <v>#N/A</v>
      </c>
      <c r="Q3092" s="143"/>
      <c r="T3092" s="144"/>
      <c r="U3092" s="145" t="e">
        <f>VLOOKUP(H3092,Stock_list!A:N,14,FALSE)</f>
        <v>#N/A</v>
      </c>
    </row>
    <row r="3093" spans="1:21" ht="16.5" customHeight="1">
      <c r="A3093" s="159" t="s">
        <v>264</v>
      </c>
      <c r="B3093" s="114" t="str">
        <f>VLOOKUP(A3093,'Data pick slip'!B:F,5,FALSE)</f>
        <v>KHJ-MC200-00</v>
      </c>
      <c r="F3093" s="157" t="s">
        <v>227</v>
      </c>
      <c r="H3093" s="138">
        <v>1414</v>
      </c>
      <c r="I3093" s="139" t="e">
        <f>VLOOKUP(H3093,Stock_list!A:R,18,FALSE)</f>
        <v>#N/A</v>
      </c>
      <c r="J3093" s="139" t="e">
        <f>VLOOKUP(H3093,Stock_list!A:S,17,FALSE)</f>
        <v>#N/A</v>
      </c>
      <c r="K3093" s="51" t="e">
        <f>VLOOKUP(H3093,Stock_list!A:T,16,FALSE)</f>
        <v>#N/A</v>
      </c>
      <c r="L3093" s="4">
        <v>44580</v>
      </c>
      <c r="M3093" s="140">
        <v>12</v>
      </c>
      <c r="P3093" s="4" t="e">
        <f>VLOOKUP(H3093,Stock_list!A:Y,25,FALSE)</f>
        <v>#N/A</v>
      </c>
      <c r="Q3093" s="143"/>
      <c r="T3093" s="144"/>
      <c r="U3093" s="145" t="e">
        <f>VLOOKUP(H3093,Stock_list!A:N,14,FALSE)</f>
        <v>#N/A</v>
      </c>
    </row>
    <row r="3094" spans="1:21" ht="16.5" customHeight="1">
      <c r="A3094" s="159" t="s">
        <v>265</v>
      </c>
      <c r="B3094" s="114" t="str">
        <f>VLOOKUP(A3094,'Data pick slip'!B:F,5,FALSE)</f>
        <v>KHJ-MC400-00</v>
      </c>
      <c r="F3094" s="157" t="s">
        <v>227</v>
      </c>
      <c r="H3094" s="138">
        <v>1414</v>
      </c>
      <c r="I3094" s="139" t="e">
        <f>VLOOKUP(H3094,Stock_list!A:R,18,FALSE)</f>
        <v>#N/A</v>
      </c>
      <c r="J3094" s="139" t="e">
        <f>VLOOKUP(H3094,Stock_list!A:S,17,FALSE)</f>
        <v>#N/A</v>
      </c>
      <c r="K3094" s="51" t="e">
        <f>VLOOKUP(H3094,Stock_list!A:T,16,FALSE)</f>
        <v>#N/A</v>
      </c>
      <c r="L3094" s="4">
        <v>44580</v>
      </c>
      <c r="M3094" s="140">
        <v>2</v>
      </c>
      <c r="P3094" s="4" t="e">
        <f>VLOOKUP(H3094,Stock_list!A:Y,25,FALSE)</f>
        <v>#N/A</v>
      </c>
      <c r="Q3094" s="143"/>
      <c r="T3094" s="144"/>
      <c r="U3094" s="145" t="e">
        <f>VLOOKUP(H3094,Stock_list!A:N,14,FALSE)</f>
        <v>#N/A</v>
      </c>
    </row>
    <row r="3095" spans="1:21" ht="16.5" customHeight="1">
      <c r="A3095" s="159" t="s">
        <v>266</v>
      </c>
      <c r="B3095" s="114" t="str">
        <f>VLOOKUP(A3095,'Data pick slip'!B:F,5,FALSE)</f>
        <v>KHJ-MC500-00</v>
      </c>
      <c r="F3095" s="157" t="s">
        <v>227</v>
      </c>
      <c r="H3095" s="138">
        <v>1414</v>
      </c>
      <c r="I3095" s="139" t="e">
        <f>VLOOKUP(H3095,Stock_list!A:R,18,FALSE)</f>
        <v>#N/A</v>
      </c>
      <c r="J3095" s="139" t="e">
        <f>VLOOKUP(H3095,Stock_list!A:S,17,FALSE)</f>
        <v>#N/A</v>
      </c>
      <c r="K3095" s="51" t="e">
        <f>VLOOKUP(H3095,Stock_list!A:T,16,FALSE)</f>
        <v>#N/A</v>
      </c>
      <c r="L3095" s="4">
        <v>44580</v>
      </c>
      <c r="M3095" s="140">
        <v>2</v>
      </c>
      <c r="P3095" s="4" t="e">
        <f>VLOOKUP(H3095,Stock_list!A:Y,25,FALSE)</f>
        <v>#N/A</v>
      </c>
      <c r="Q3095" s="143"/>
      <c r="T3095" s="144"/>
      <c r="U3095" s="145" t="e">
        <f>VLOOKUP(H3095,Stock_list!A:N,14,FALSE)</f>
        <v>#N/A</v>
      </c>
    </row>
    <row r="3096" spans="1:21" ht="16.5" customHeight="1">
      <c r="A3096" s="159" t="s">
        <v>285</v>
      </c>
      <c r="B3096" s="114" t="str">
        <f>VLOOKUP(A3096,'Data pick slip'!B:F,5,FALSE)</f>
        <v>KHJ-MC100-00</v>
      </c>
      <c r="F3096" s="157" t="s">
        <v>227</v>
      </c>
      <c r="H3096" s="138">
        <v>1419</v>
      </c>
      <c r="I3096" s="139" t="e">
        <f>VLOOKUP(H3096,Stock_list!A:R,18,FALSE)</f>
        <v>#N/A</v>
      </c>
      <c r="J3096" s="139" t="e">
        <f>VLOOKUP(H3096,Stock_list!A:S,17,FALSE)</f>
        <v>#N/A</v>
      </c>
      <c r="K3096" s="51" t="e">
        <f>VLOOKUP(H3096,Stock_list!A:T,16,FALSE)</f>
        <v>#N/A</v>
      </c>
      <c r="L3096" s="4">
        <v>44439</v>
      </c>
      <c r="M3096" s="132">
        <v>56</v>
      </c>
      <c r="N3096" s="146"/>
      <c r="P3096" s="4" t="e">
        <f>VLOOKUP(H3096,Stock_list!A:Y,25,FALSE)</f>
        <v>#N/A</v>
      </c>
      <c r="Q3096" s="143"/>
      <c r="T3096" s="144"/>
      <c r="U3096" s="145" t="e">
        <f>VLOOKUP(H3096,Stock_list!A:N,14,FALSE)</f>
        <v>#N/A</v>
      </c>
    </row>
    <row r="3097" spans="1:21" ht="16.5" customHeight="1">
      <c r="A3097" s="159" t="s">
        <v>264</v>
      </c>
      <c r="B3097" s="114" t="str">
        <f>VLOOKUP(A3097,'Data pick slip'!B:F,5,FALSE)</f>
        <v>KHJ-MC200-00</v>
      </c>
      <c r="F3097" s="157" t="s">
        <v>227</v>
      </c>
      <c r="H3097" s="138">
        <v>1419</v>
      </c>
      <c r="I3097" s="139" t="e">
        <f>VLOOKUP(H3097,Stock_list!A:R,18,FALSE)</f>
        <v>#N/A</v>
      </c>
      <c r="J3097" s="139" t="e">
        <f>VLOOKUP(H3097,Stock_list!A:S,17,FALSE)</f>
        <v>#N/A</v>
      </c>
      <c r="K3097" s="51" t="e">
        <f>VLOOKUP(H3097,Stock_list!A:T,16,FALSE)</f>
        <v>#N/A</v>
      </c>
      <c r="L3097" s="4">
        <v>44439</v>
      </c>
      <c r="M3097" s="132">
        <v>11</v>
      </c>
      <c r="N3097" s="146"/>
      <c r="P3097" s="4" t="e">
        <f>VLOOKUP(H3097,Stock_list!A:Y,25,FALSE)</f>
        <v>#N/A</v>
      </c>
      <c r="Q3097" s="143"/>
      <c r="T3097" s="144"/>
      <c r="U3097" s="145" t="e">
        <f>VLOOKUP(H3097,Stock_list!A:N,14,FALSE)</f>
        <v>#N/A</v>
      </c>
    </row>
    <row r="3098" spans="1:21" ht="16.5" customHeight="1">
      <c r="A3098" s="159" t="s">
        <v>265</v>
      </c>
      <c r="B3098" s="114" t="str">
        <f>VLOOKUP(A3098,'Data pick slip'!B:F,5,FALSE)</f>
        <v>KHJ-MC400-00</v>
      </c>
      <c r="F3098" s="157" t="s">
        <v>227</v>
      </c>
      <c r="H3098" s="138">
        <v>1419</v>
      </c>
      <c r="I3098" s="139" t="e">
        <f>VLOOKUP(H3098,Stock_list!A:R,18,FALSE)</f>
        <v>#N/A</v>
      </c>
      <c r="J3098" s="139" t="e">
        <f>VLOOKUP(H3098,Stock_list!A:S,17,FALSE)</f>
        <v>#N/A</v>
      </c>
      <c r="K3098" s="51" t="e">
        <f>VLOOKUP(H3098,Stock_list!A:T,16,FALSE)</f>
        <v>#N/A</v>
      </c>
      <c r="L3098" s="4">
        <v>44439</v>
      </c>
      <c r="M3098" s="132">
        <v>3</v>
      </c>
      <c r="N3098" s="146"/>
      <c r="P3098" s="4" t="e">
        <f>VLOOKUP(H3098,Stock_list!A:Y,25,FALSE)</f>
        <v>#N/A</v>
      </c>
      <c r="Q3098" s="143"/>
      <c r="T3098" s="144"/>
      <c r="U3098" s="145" t="e">
        <f>VLOOKUP(H3098,Stock_list!A:N,14,FALSE)</f>
        <v>#N/A</v>
      </c>
    </row>
    <row r="3099" spans="1:21" ht="16.5" customHeight="1">
      <c r="A3099" s="159" t="s">
        <v>285</v>
      </c>
      <c r="B3099" s="114" t="str">
        <f>VLOOKUP(A3099,'Data pick slip'!B:F,5,FALSE)</f>
        <v>KHJ-MC100-00</v>
      </c>
      <c r="F3099" s="157" t="s">
        <v>227</v>
      </c>
      <c r="H3099" s="138">
        <v>1419</v>
      </c>
      <c r="I3099" s="139" t="e">
        <f>VLOOKUP(H3099,Stock_list!A:R,18,FALSE)</f>
        <v>#N/A</v>
      </c>
      <c r="J3099" s="139" t="e">
        <f>VLOOKUP(H3099,Stock_list!A:S,17,FALSE)</f>
        <v>#N/A</v>
      </c>
      <c r="K3099" s="51" t="e">
        <f>VLOOKUP(H3099,Stock_list!A:T,16,FALSE)</f>
        <v>#N/A</v>
      </c>
      <c r="L3099" s="4">
        <v>44558</v>
      </c>
      <c r="M3099" s="140">
        <v>28</v>
      </c>
      <c r="P3099" s="4" t="e">
        <f>VLOOKUP(H3099,Stock_list!A:Y,25,FALSE)</f>
        <v>#N/A</v>
      </c>
      <c r="Q3099" s="143"/>
      <c r="T3099" s="144"/>
      <c r="U3099" s="145" t="e">
        <f>VLOOKUP(H3099,Stock_list!A:N,14,FALSE)</f>
        <v>#N/A</v>
      </c>
    </row>
    <row r="3100" spans="1:21" ht="16.5" customHeight="1">
      <c r="A3100" s="159" t="s">
        <v>264</v>
      </c>
      <c r="B3100" s="114" t="str">
        <f>VLOOKUP(A3100,'Data pick slip'!B:F,5,FALSE)</f>
        <v>KHJ-MC200-00</v>
      </c>
      <c r="F3100" s="157" t="s">
        <v>227</v>
      </c>
      <c r="H3100" s="138">
        <v>1419</v>
      </c>
      <c r="I3100" s="139" t="e">
        <f>VLOOKUP(H3100,Stock_list!A:R,18,FALSE)</f>
        <v>#N/A</v>
      </c>
      <c r="J3100" s="139" t="e">
        <f>VLOOKUP(H3100,Stock_list!A:S,17,FALSE)</f>
        <v>#N/A</v>
      </c>
      <c r="K3100" s="51" t="e">
        <f>VLOOKUP(H3100,Stock_list!A:T,16,FALSE)</f>
        <v>#N/A</v>
      </c>
      <c r="L3100" s="4">
        <v>44558</v>
      </c>
      <c r="M3100" s="140">
        <v>5</v>
      </c>
      <c r="P3100" s="4" t="e">
        <f>VLOOKUP(H3100,Stock_list!A:Y,25,FALSE)</f>
        <v>#N/A</v>
      </c>
      <c r="Q3100" s="143"/>
      <c r="T3100" s="144"/>
      <c r="U3100" s="145" t="e">
        <f>VLOOKUP(H3100,Stock_list!A:N,14,FALSE)</f>
        <v>#N/A</v>
      </c>
    </row>
    <row r="3101" spans="1:21" ht="16.5" customHeight="1">
      <c r="A3101" s="159" t="s">
        <v>265</v>
      </c>
      <c r="B3101" s="114" t="str">
        <f>VLOOKUP(A3101,'Data pick slip'!B:F,5,FALSE)</f>
        <v>KHJ-MC400-00</v>
      </c>
      <c r="F3101" s="157" t="s">
        <v>227</v>
      </c>
      <c r="H3101" s="138">
        <v>1419</v>
      </c>
      <c r="I3101" s="139" t="e">
        <f>VLOOKUP(H3101,Stock_list!A:R,18,FALSE)</f>
        <v>#N/A</v>
      </c>
      <c r="J3101" s="139" t="e">
        <f>VLOOKUP(H3101,Stock_list!A:S,17,FALSE)</f>
        <v>#N/A</v>
      </c>
      <c r="K3101" s="51" t="e">
        <f>VLOOKUP(H3101,Stock_list!A:T,16,FALSE)</f>
        <v>#N/A</v>
      </c>
      <c r="L3101" s="4">
        <v>44558</v>
      </c>
      <c r="M3101" s="140">
        <v>2</v>
      </c>
      <c r="P3101" s="4" t="e">
        <f>VLOOKUP(H3101,Stock_list!A:Y,25,FALSE)</f>
        <v>#N/A</v>
      </c>
      <c r="Q3101" s="143"/>
      <c r="T3101" s="144"/>
      <c r="U3101" s="145" t="e">
        <f>VLOOKUP(H3101,Stock_list!A:N,14,FALSE)</f>
        <v>#N/A</v>
      </c>
    </row>
    <row r="3102" spans="1:21" ht="16.5" customHeight="1">
      <c r="A3102" s="159" t="s">
        <v>285</v>
      </c>
      <c r="B3102" s="114" t="str">
        <f>VLOOKUP(A3102,'Data pick slip'!B:F,5,FALSE)</f>
        <v>KHJ-MC100-00</v>
      </c>
      <c r="F3102" s="157" t="s">
        <v>227</v>
      </c>
      <c r="H3102" s="138">
        <v>1419</v>
      </c>
      <c r="I3102" s="139" t="e">
        <f>VLOOKUP(H3102,Stock_list!A:R,18,FALSE)</f>
        <v>#N/A</v>
      </c>
      <c r="J3102" s="139" t="e">
        <f>VLOOKUP(H3102,Stock_list!A:S,17,FALSE)</f>
        <v>#N/A</v>
      </c>
      <c r="K3102" s="51" t="e">
        <f>VLOOKUP(H3102,Stock_list!A:T,16,FALSE)</f>
        <v>#N/A</v>
      </c>
      <c r="L3102" s="4">
        <v>44511</v>
      </c>
      <c r="M3102" s="140">
        <v>28</v>
      </c>
      <c r="P3102" s="4" t="e">
        <f>VLOOKUP(H3102,Stock_list!A:Y,25,FALSE)</f>
        <v>#N/A</v>
      </c>
      <c r="Q3102" s="143"/>
      <c r="T3102" s="144"/>
      <c r="U3102" s="145" t="e">
        <f>VLOOKUP(H3102,Stock_list!A:N,14,FALSE)</f>
        <v>#N/A</v>
      </c>
    </row>
    <row r="3103" spans="1:21" ht="16.5" customHeight="1">
      <c r="A3103" s="159" t="s">
        <v>264</v>
      </c>
      <c r="B3103" s="114" t="str">
        <f>VLOOKUP(A3103,'Data pick slip'!B:F,5,FALSE)</f>
        <v>KHJ-MC200-00</v>
      </c>
      <c r="F3103" s="157" t="s">
        <v>227</v>
      </c>
      <c r="H3103" s="138">
        <v>1419</v>
      </c>
      <c r="I3103" s="139" t="e">
        <f>VLOOKUP(H3103,Stock_list!A:R,18,FALSE)</f>
        <v>#N/A</v>
      </c>
      <c r="J3103" s="139" t="e">
        <f>VLOOKUP(H3103,Stock_list!A:S,17,FALSE)</f>
        <v>#N/A</v>
      </c>
      <c r="K3103" s="51" t="e">
        <f>VLOOKUP(H3103,Stock_list!A:T,16,FALSE)</f>
        <v>#N/A</v>
      </c>
      <c r="L3103" s="4">
        <v>44511</v>
      </c>
      <c r="M3103" s="140">
        <v>5</v>
      </c>
      <c r="P3103" s="4" t="e">
        <f>VLOOKUP(H3103,Stock_list!A:Y,25,FALSE)</f>
        <v>#N/A</v>
      </c>
      <c r="Q3103" s="143"/>
      <c r="T3103" s="144"/>
      <c r="U3103" s="145" t="e">
        <f>VLOOKUP(H3103,Stock_list!A:N,14,FALSE)</f>
        <v>#N/A</v>
      </c>
    </row>
    <row r="3104" spans="1:21" ht="16.5" customHeight="1">
      <c r="A3104" s="159" t="s">
        <v>265</v>
      </c>
      <c r="B3104" s="114" t="str">
        <f>VLOOKUP(A3104,'Data pick slip'!B:F,5,FALSE)</f>
        <v>KHJ-MC400-00</v>
      </c>
      <c r="F3104" s="157" t="s">
        <v>227</v>
      </c>
      <c r="H3104" s="138">
        <v>1419</v>
      </c>
      <c r="I3104" s="139" t="e">
        <f>VLOOKUP(H3104,Stock_list!A:R,18,FALSE)</f>
        <v>#N/A</v>
      </c>
      <c r="J3104" s="139" t="e">
        <f>VLOOKUP(H3104,Stock_list!A:S,17,FALSE)</f>
        <v>#N/A</v>
      </c>
      <c r="K3104" s="51" t="e">
        <f>VLOOKUP(H3104,Stock_list!A:T,16,FALSE)</f>
        <v>#N/A</v>
      </c>
      <c r="L3104" s="4">
        <v>44511</v>
      </c>
      <c r="M3104" s="140">
        <v>2</v>
      </c>
      <c r="P3104" s="4" t="e">
        <f>VLOOKUP(H3104,Stock_list!A:Y,25,FALSE)</f>
        <v>#N/A</v>
      </c>
      <c r="Q3104" s="143"/>
      <c r="T3104" s="144"/>
      <c r="U3104" s="145" t="e">
        <f>VLOOKUP(H3104,Stock_list!A:N,14,FALSE)</f>
        <v>#N/A</v>
      </c>
    </row>
    <row r="3105" spans="1:21" ht="16.5" customHeight="1">
      <c r="A3105" s="159" t="s">
        <v>285</v>
      </c>
      <c r="B3105" s="114" t="str">
        <f>VLOOKUP(A3105,'Data pick slip'!B:F,5,FALSE)</f>
        <v>KHJ-MC100-00</v>
      </c>
      <c r="F3105" s="157" t="s">
        <v>270</v>
      </c>
      <c r="H3105" s="138">
        <v>1419</v>
      </c>
      <c r="I3105" s="139" t="e">
        <f>VLOOKUP(H3105,Stock_list!A:R,18,FALSE)</f>
        <v>#N/A</v>
      </c>
      <c r="J3105" s="139" t="e">
        <f>VLOOKUP(H3105,Stock_list!A:S,17,FALSE)</f>
        <v>#N/A</v>
      </c>
      <c r="K3105" s="51" t="e">
        <f>VLOOKUP(H3105,Stock_list!A:T,16,FALSE)</f>
        <v>#N/A</v>
      </c>
      <c r="L3105" s="4">
        <v>44511</v>
      </c>
      <c r="O3105" s="132">
        <f>28-28</f>
        <v>0</v>
      </c>
      <c r="P3105" s="4" t="e">
        <f>VLOOKUP(H3105,Stock_list!A:Y,25,FALSE)</f>
        <v>#N/A</v>
      </c>
      <c r="Q3105" s="143"/>
      <c r="T3105" s="144"/>
      <c r="U3105" s="145" t="e">
        <f>VLOOKUP(H3105,Stock_list!A:N,14,FALSE)</f>
        <v>#N/A</v>
      </c>
    </row>
    <row r="3106" spans="1:21" ht="16.5" customHeight="1">
      <c r="A3106" s="159" t="s">
        <v>264</v>
      </c>
      <c r="B3106" s="114" t="str">
        <f>VLOOKUP(A3106,'Data pick slip'!B:F,5,FALSE)</f>
        <v>KHJ-MC200-00</v>
      </c>
      <c r="F3106" s="157" t="s">
        <v>270</v>
      </c>
      <c r="H3106" s="138">
        <v>1419</v>
      </c>
      <c r="I3106" s="139" t="e">
        <f>VLOOKUP(H3106,Stock_list!A:R,18,FALSE)</f>
        <v>#N/A</v>
      </c>
      <c r="J3106" s="139" t="e">
        <f>VLOOKUP(H3106,Stock_list!A:S,17,FALSE)</f>
        <v>#N/A</v>
      </c>
      <c r="K3106" s="51" t="e">
        <f>VLOOKUP(H3106,Stock_list!A:T,16,FALSE)</f>
        <v>#N/A</v>
      </c>
      <c r="L3106" s="4">
        <v>44511</v>
      </c>
      <c r="O3106" s="132">
        <f>5-5</f>
        <v>0</v>
      </c>
      <c r="P3106" s="4" t="e">
        <f>VLOOKUP(H3106,Stock_list!A:Y,25,FALSE)</f>
        <v>#N/A</v>
      </c>
      <c r="Q3106" s="143"/>
      <c r="T3106" s="144"/>
      <c r="U3106" s="145" t="e">
        <f>VLOOKUP(H3106,Stock_list!A:N,14,FALSE)</f>
        <v>#N/A</v>
      </c>
    </row>
    <row r="3107" spans="1:21" ht="16.5" customHeight="1">
      <c r="A3107" s="159" t="s">
        <v>265</v>
      </c>
      <c r="B3107" s="114" t="str">
        <f>VLOOKUP(A3107,'Data pick slip'!B:F,5,FALSE)</f>
        <v>KHJ-MC400-00</v>
      </c>
      <c r="F3107" s="157" t="s">
        <v>270</v>
      </c>
      <c r="H3107" s="138">
        <v>1419</v>
      </c>
      <c r="I3107" s="139" t="e">
        <f>VLOOKUP(H3107,Stock_list!A:R,18,FALSE)</f>
        <v>#N/A</v>
      </c>
      <c r="J3107" s="139" t="e">
        <f>VLOOKUP(H3107,Stock_list!A:S,17,FALSE)</f>
        <v>#N/A</v>
      </c>
      <c r="K3107" s="51" t="e">
        <f>VLOOKUP(H3107,Stock_list!A:T,16,FALSE)</f>
        <v>#N/A</v>
      </c>
      <c r="L3107" s="4">
        <v>44511</v>
      </c>
      <c r="O3107" s="132">
        <f>2-2</f>
        <v>0</v>
      </c>
      <c r="P3107" s="4" t="e">
        <f>VLOOKUP(H3107,Stock_list!A:Y,25,FALSE)</f>
        <v>#N/A</v>
      </c>
      <c r="Q3107" s="143"/>
      <c r="T3107" s="144"/>
      <c r="U3107" s="145" t="e">
        <f>VLOOKUP(H3107,Stock_list!A:N,14,FALSE)</f>
        <v>#N/A</v>
      </c>
    </row>
    <row r="3108" spans="1:21" ht="16.5" customHeight="1">
      <c r="A3108" s="159" t="s">
        <v>285</v>
      </c>
      <c r="B3108" s="114" t="str">
        <f>VLOOKUP(A3108,'Data pick slip'!B:F,5,FALSE)</f>
        <v>KHJ-MC100-00</v>
      </c>
      <c r="F3108" s="157" t="s">
        <v>227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285</v>
      </c>
      <c r="B3109" s="114" t="str">
        <f>VLOOKUP(A3109,'Data pick slip'!B:F,5,FALSE)</f>
        <v>KHJ-MC100-00</v>
      </c>
      <c r="F3109" s="157" t="s">
        <v>270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264</v>
      </c>
      <c r="B3110" s="114" t="str">
        <f>VLOOKUP(A3110,'Data pick slip'!B:F,5,FALSE)</f>
        <v>KHJ-MC200-00</v>
      </c>
      <c r="F3110" s="157" t="s">
        <v>227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265</v>
      </c>
      <c r="B3111" s="114" t="str">
        <f>VLOOKUP(A3111,'Data pick slip'!B:F,5,FALSE)</f>
        <v>KHJ-MC400-00</v>
      </c>
      <c r="F3111" s="157" t="s">
        <v>227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285</v>
      </c>
      <c r="B3112" s="114" t="str">
        <f>VLOOKUP(A3112,'Data pick slip'!B:F,5,FALSE)</f>
        <v>KHJ-MC100-00</v>
      </c>
      <c r="E3112" s="160" t="s">
        <v>973</v>
      </c>
      <c r="F3112" s="157" t="s">
        <v>227</v>
      </c>
      <c r="I3112" s="139" t="s">
        <v>371</v>
      </c>
      <c r="J3112" s="267" t="s">
        <v>974</v>
      </c>
      <c r="K3112" s="51" t="s">
        <v>520</v>
      </c>
      <c r="L3112" s="4">
        <v>44356</v>
      </c>
      <c r="M3112" s="140">
        <v>2</v>
      </c>
      <c r="P3112" s="4" t="s">
        <v>214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285</v>
      </c>
      <c r="B3113" s="114" t="str">
        <f>VLOOKUP(A3113,'Data pick slip'!B:F,5,FALSE)</f>
        <v>KHJ-MC100-00</v>
      </c>
      <c r="F3113" s="157" t="s">
        <v>227</v>
      </c>
      <c r="I3113" s="269" t="s">
        <v>931</v>
      </c>
      <c r="J3113" s="139" t="s">
        <v>975</v>
      </c>
      <c r="K3113" s="51" t="s">
        <v>225</v>
      </c>
      <c r="L3113" s="4">
        <v>44369</v>
      </c>
      <c r="M3113" s="140">
        <v>60</v>
      </c>
      <c r="P3113" s="4" t="s">
        <v>214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267</v>
      </c>
      <c r="B3114" s="114" t="str">
        <f>VLOOKUP(A3114,'Data pick slip'!B:F,5,FALSE)</f>
        <v>KHJ-MC600-00</v>
      </c>
      <c r="F3114" s="157" t="s">
        <v>227</v>
      </c>
      <c r="I3114" s="269" t="s">
        <v>931</v>
      </c>
      <c r="J3114" s="139" t="s">
        <v>975</v>
      </c>
      <c r="K3114" s="51" t="s">
        <v>225</v>
      </c>
      <c r="L3114" s="4">
        <v>44369</v>
      </c>
      <c r="M3114" s="140">
        <v>4</v>
      </c>
      <c r="P3114" s="4" t="s">
        <v>214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268</v>
      </c>
      <c r="B3115" s="114" t="str">
        <f>VLOOKUP(A3115,'Data pick slip'!B:F,5,FALSE)</f>
        <v>KHJ-MC700-00</v>
      </c>
      <c r="F3115" s="157" t="s">
        <v>227</v>
      </c>
      <c r="I3115" s="269" t="s">
        <v>931</v>
      </c>
      <c r="J3115" s="139" t="s">
        <v>975</v>
      </c>
      <c r="K3115" s="51" t="s">
        <v>225</v>
      </c>
      <c r="L3115" s="4">
        <v>44369</v>
      </c>
      <c r="M3115" s="140">
        <v>2</v>
      </c>
      <c r="P3115" s="4" t="s">
        <v>214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285</v>
      </c>
      <c r="B3116" s="114" t="str">
        <f>VLOOKUP(A3116,'Data pick slip'!B:F,5,FALSE)</f>
        <v>KHJ-MC100-00</v>
      </c>
      <c r="F3116" s="157" t="s">
        <v>270</v>
      </c>
      <c r="H3116" s="138">
        <v>1434</v>
      </c>
      <c r="I3116" s="139" t="e">
        <f>VLOOKUP(H3116,Stock_list!A:R,18,FALSE)</f>
        <v>#N/A</v>
      </c>
      <c r="J3116" s="139" t="e">
        <f>VLOOKUP(H3116,Stock_list!A:S,17,FALSE)</f>
        <v>#N/A</v>
      </c>
      <c r="K3116" s="51" t="e">
        <f>VLOOKUP(H3116,Stock_list!A:T,16,FALSE)</f>
        <v>#N/A</v>
      </c>
      <c r="L3116" s="4">
        <v>44512</v>
      </c>
      <c r="M3116" s="132">
        <v>30</v>
      </c>
      <c r="P3116" s="4" t="e">
        <f>VLOOKUP(H3116,Stock_list!A:Y,25,FALSE)</f>
        <v>#N/A</v>
      </c>
      <c r="Q3116" s="143"/>
      <c r="T3116" s="144"/>
      <c r="U3116" s="145" t="e">
        <f>VLOOKUP(H3116,Stock_list!A:N,14,FALSE)</f>
        <v>#N/A</v>
      </c>
    </row>
    <row r="3117" spans="1:21" ht="16.5" customHeight="1">
      <c r="A3117" s="159" t="s">
        <v>264</v>
      </c>
      <c r="B3117" s="114" t="str">
        <f>VLOOKUP(A3117,'Data pick slip'!B:F,5,FALSE)</f>
        <v>KHJ-MC200-00</v>
      </c>
      <c r="F3117" s="157" t="s">
        <v>270</v>
      </c>
      <c r="H3117" s="138">
        <v>1434</v>
      </c>
      <c r="I3117" s="139" t="e">
        <f>VLOOKUP(H3117,Stock_list!A:R,18,FALSE)</f>
        <v>#N/A</v>
      </c>
      <c r="J3117" s="139" t="e">
        <f>VLOOKUP(H3117,Stock_list!A:S,17,FALSE)</f>
        <v>#N/A</v>
      </c>
      <c r="K3117" s="51" t="e">
        <f>VLOOKUP(H3117,Stock_list!A:T,16,FALSE)</f>
        <v>#N/A</v>
      </c>
      <c r="L3117" s="4">
        <v>44512</v>
      </c>
      <c r="M3117" s="132">
        <v>2</v>
      </c>
      <c r="P3117" s="4" t="e">
        <f>VLOOKUP(H3117,Stock_list!A:Y,25,FALSE)</f>
        <v>#N/A</v>
      </c>
      <c r="Q3117" s="143"/>
      <c r="T3117" s="144"/>
      <c r="U3117" s="145" t="e">
        <f>VLOOKUP(H3117,Stock_list!A:N,14,FALSE)</f>
        <v>#N/A</v>
      </c>
    </row>
    <row r="3118" spans="1:21" ht="16.5" customHeight="1">
      <c r="A3118" s="159" t="s">
        <v>265</v>
      </c>
      <c r="B3118" s="114" t="str">
        <f>VLOOKUP(A3118,'Data pick slip'!B:F,5,FALSE)</f>
        <v>KHJ-MC400-00</v>
      </c>
      <c r="F3118" s="157" t="s">
        <v>270</v>
      </c>
      <c r="H3118" s="138">
        <v>1434</v>
      </c>
      <c r="I3118" s="139" t="e">
        <f>VLOOKUP(H3118,Stock_list!A:R,18,FALSE)</f>
        <v>#N/A</v>
      </c>
      <c r="J3118" s="139" t="e">
        <f>VLOOKUP(H3118,Stock_list!A:S,17,FALSE)</f>
        <v>#N/A</v>
      </c>
      <c r="K3118" s="51" t="e">
        <f>VLOOKUP(H3118,Stock_list!A:T,16,FALSE)</f>
        <v>#N/A</v>
      </c>
      <c r="L3118" s="4">
        <v>44512</v>
      </c>
      <c r="M3118" s="132">
        <v>1</v>
      </c>
      <c r="P3118" s="4" t="e">
        <f>VLOOKUP(H3118,Stock_list!A:Y,25,FALSE)</f>
        <v>#N/A</v>
      </c>
      <c r="Q3118" s="143"/>
      <c r="T3118" s="144"/>
      <c r="U3118" s="145" t="e">
        <f>VLOOKUP(H3118,Stock_list!A:N,14,FALSE)</f>
        <v>#N/A</v>
      </c>
    </row>
    <row r="3119" spans="1:21" ht="16.5" customHeight="1">
      <c r="A3119" s="159" t="s">
        <v>261</v>
      </c>
      <c r="B3119" s="114" t="str">
        <f>VLOOKUP(A3119,'Data pick slip'!B:F,5,FALSE)</f>
        <v>KHJ-MC100-00</v>
      </c>
      <c r="F3119" s="157" t="s">
        <v>270</v>
      </c>
      <c r="I3119" s="139" t="s">
        <v>611</v>
      </c>
      <c r="J3119" s="270" t="s">
        <v>976</v>
      </c>
      <c r="K3119" s="51" t="s">
        <v>225</v>
      </c>
      <c r="L3119" s="4">
        <v>44369</v>
      </c>
      <c r="M3119" s="140">
        <v>2</v>
      </c>
      <c r="P3119" s="4" t="s">
        <v>214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285</v>
      </c>
      <c r="B3120" s="114" t="str">
        <f>VLOOKUP(A3120,'Data pick slip'!B:F,5,FALSE)</f>
        <v>KHJ-MC100-00</v>
      </c>
      <c r="F3120" s="157" t="s">
        <v>227</v>
      </c>
      <c r="H3120" s="138">
        <v>1435</v>
      </c>
      <c r="I3120" s="139" t="e">
        <f>VLOOKUP(H3120,Stock_list!A:R,18,FALSE)</f>
        <v>#N/A</v>
      </c>
      <c r="J3120" s="139" t="e">
        <f>VLOOKUP(H3120,Stock_list!A:S,17,FALSE)</f>
        <v>#N/A</v>
      </c>
      <c r="K3120" s="51" t="e">
        <f>VLOOKUP(H3120,Stock_list!A:T,16,FALSE)</f>
        <v>#N/A</v>
      </c>
      <c r="L3120" s="4">
        <v>44782</v>
      </c>
      <c r="M3120" s="132">
        <v>14</v>
      </c>
      <c r="P3120" s="4" t="e">
        <f>VLOOKUP(H3120,Stock_list!A:Y,25,FALSE)</f>
        <v>#N/A</v>
      </c>
      <c r="Q3120" s="143"/>
      <c r="T3120" s="144"/>
      <c r="U3120" s="145" t="e">
        <f>VLOOKUP(H3120,Stock_list!A:N,14,FALSE)</f>
        <v>#N/A</v>
      </c>
    </row>
    <row r="3121" spans="1:21" ht="16.5" customHeight="1">
      <c r="A3121" s="159" t="s">
        <v>264</v>
      </c>
      <c r="B3121" s="114" t="str">
        <f>VLOOKUP(A3121,'Data pick slip'!B:F,5,FALSE)</f>
        <v>KHJ-MC200-00</v>
      </c>
      <c r="F3121" s="157" t="s">
        <v>227</v>
      </c>
      <c r="H3121" s="138">
        <v>1435</v>
      </c>
      <c r="I3121" s="139" t="e">
        <f>VLOOKUP(H3121,Stock_list!A:R,18,FALSE)</f>
        <v>#N/A</v>
      </c>
      <c r="J3121" s="139" t="e">
        <f>VLOOKUP(H3121,Stock_list!A:S,17,FALSE)</f>
        <v>#N/A</v>
      </c>
      <c r="K3121" s="51" t="e">
        <f>VLOOKUP(H3121,Stock_list!A:T,16,FALSE)</f>
        <v>#N/A</v>
      </c>
      <c r="L3121" s="4">
        <v>44782</v>
      </c>
      <c r="M3121" s="132">
        <v>18</v>
      </c>
      <c r="P3121" s="4" t="e">
        <f>VLOOKUP(H3121,Stock_list!A:Y,25,FALSE)</f>
        <v>#N/A</v>
      </c>
      <c r="Q3121" s="143"/>
      <c r="T3121" s="144"/>
      <c r="U3121" s="145" t="e">
        <f>VLOOKUP(H3121,Stock_list!A:N,14,FALSE)</f>
        <v>#N/A</v>
      </c>
    </row>
    <row r="3122" spans="1:21" ht="16.5" customHeight="1">
      <c r="A3122" s="159" t="s">
        <v>265</v>
      </c>
      <c r="B3122" s="114" t="str">
        <f>VLOOKUP(A3122,'Data pick slip'!B:F,5,FALSE)</f>
        <v>KHJ-MC400-00</v>
      </c>
      <c r="F3122" s="157" t="s">
        <v>227</v>
      </c>
      <c r="H3122" s="138">
        <v>1435</v>
      </c>
      <c r="I3122" s="139" t="e">
        <f>VLOOKUP(H3122,Stock_list!A:R,18,FALSE)</f>
        <v>#N/A</v>
      </c>
      <c r="J3122" s="139" t="e">
        <f>VLOOKUP(H3122,Stock_list!A:S,17,FALSE)</f>
        <v>#N/A</v>
      </c>
      <c r="K3122" s="51" t="e">
        <f>VLOOKUP(H3122,Stock_list!A:T,16,FALSE)</f>
        <v>#N/A</v>
      </c>
      <c r="L3122" s="4">
        <v>44782</v>
      </c>
      <c r="M3122" s="132">
        <v>2</v>
      </c>
      <c r="P3122" s="4" t="e">
        <f>VLOOKUP(H3122,Stock_list!A:Y,25,FALSE)</f>
        <v>#N/A</v>
      </c>
      <c r="Q3122" s="143"/>
      <c r="T3122" s="144"/>
      <c r="U3122" s="145" t="e">
        <f>VLOOKUP(H3122,Stock_list!A:N,14,FALSE)</f>
        <v>#N/A</v>
      </c>
    </row>
    <row r="3123" spans="1:21" ht="16.5" customHeight="1">
      <c r="A3123" s="159" t="s">
        <v>268</v>
      </c>
      <c r="B3123" s="114" t="str">
        <f>VLOOKUP(A3123,'Data pick slip'!B:F,5,FALSE)</f>
        <v>KHJ-MC700-00</v>
      </c>
      <c r="F3123" s="157" t="s">
        <v>270</v>
      </c>
      <c r="I3123" s="139" t="s">
        <v>617</v>
      </c>
      <c r="J3123" s="267" t="s">
        <v>977</v>
      </c>
      <c r="K3123" s="51" t="s">
        <v>225</v>
      </c>
      <c r="L3123" s="4">
        <v>44371</v>
      </c>
      <c r="M3123" s="140">
        <v>1</v>
      </c>
      <c r="P3123" s="4" t="s">
        <v>214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285</v>
      </c>
      <c r="B3124" s="114" t="str">
        <f>VLOOKUP(A3124,'Data pick slip'!B:F,5,FALSE)</f>
        <v>KHJ-MC100-00</v>
      </c>
      <c r="F3124" s="157" t="s">
        <v>227</v>
      </c>
      <c r="H3124" s="138">
        <v>1439</v>
      </c>
      <c r="I3124" s="139" t="e">
        <f>VLOOKUP(H3124,Stock_list!A:R,18,FALSE)</f>
        <v>#N/A</v>
      </c>
      <c r="J3124" s="139" t="e">
        <f>VLOOKUP(H3124,Stock_list!A:S,17,FALSE)</f>
        <v>#N/A</v>
      </c>
      <c r="K3124" s="51" t="e">
        <f>VLOOKUP(H3124,Stock_list!A:T,16,FALSE)</f>
        <v>#N/A</v>
      </c>
      <c r="L3124" s="4">
        <v>44672</v>
      </c>
      <c r="M3124" s="132">
        <v>57</v>
      </c>
      <c r="P3124" s="4" t="e">
        <f>VLOOKUP(H3124,Stock_list!A:Y,25,FALSE)</f>
        <v>#N/A</v>
      </c>
      <c r="Q3124" s="143"/>
      <c r="T3124" s="144"/>
      <c r="U3124" s="145" t="e">
        <f>VLOOKUP(H3124,Stock_list!A:N,14,FALSE)</f>
        <v>#N/A</v>
      </c>
    </row>
    <row r="3125" spans="1:21" ht="16.5" customHeight="1">
      <c r="A3125" s="159" t="s">
        <v>264</v>
      </c>
      <c r="B3125" s="114" t="str">
        <f>VLOOKUP(A3125,'Data pick slip'!B:F,5,FALSE)</f>
        <v>KHJ-MC200-00</v>
      </c>
      <c r="F3125" s="157" t="s">
        <v>227</v>
      </c>
      <c r="H3125" s="138">
        <v>1439</v>
      </c>
      <c r="I3125" s="139" t="e">
        <f>VLOOKUP(H3125,Stock_list!A:R,18,FALSE)</f>
        <v>#N/A</v>
      </c>
      <c r="J3125" s="139" t="e">
        <f>VLOOKUP(H3125,Stock_list!A:S,17,FALSE)</f>
        <v>#N/A</v>
      </c>
      <c r="K3125" s="51" t="e">
        <f>VLOOKUP(H3125,Stock_list!A:T,16,FALSE)</f>
        <v>#N/A</v>
      </c>
      <c r="L3125" s="4">
        <v>44672</v>
      </c>
      <c r="M3125" s="132">
        <v>20</v>
      </c>
      <c r="P3125" s="4" t="e">
        <f>VLOOKUP(H3125,Stock_list!A:Y,25,FALSE)</f>
        <v>#N/A</v>
      </c>
      <c r="Q3125" s="143"/>
      <c r="T3125" s="144"/>
      <c r="U3125" s="145" t="e">
        <f>VLOOKUP(H3125,Stock_list!A:N,14,FALSE)</f>
        <v>#N/A</v>
      </c>
    </row>
    <row r="3126" spans="1:21" ht="16.5" customHeight="1">
      <c r="A3126" s="159" t="s">
        <v>265</v>
      </c>
      <c r="B3126" s="114" t="str">
        <f>VLOOKUP(A3126,'Data pick slip'!B:F,5,FALSE)</f>
        <v>KHJ-MC400-00</v>
      </c>
      <c r="F3126" s="157" t="s">
        <v>227</v>
      </c>
      <c r="H3126" s="138">
        <v>1439</v>
      </c>
      <c r="I3126" s="139" t="e">
        <f>VLOOKUP(H3126,Stock_list!A:R,18,FALSE)</f>
        <v>#N/A</v>
      </c>
      <c r="J3126" s="139" t="e">
        <f>VLOOKUP(H3126,Stock_list!A:S,17,FALSE)</f>
        <v>#N/A</v>
      </c>
      <c r="K3126" s="51" t="e">
        <f>VLOOKUP(H3126,Stock_list!A:T,16,FALSE)</f>
        <v>#N/A</v>
      </c>
      <c r="L3126" s="4">
        <v>44672</v>
      </c>
      <c r="M3126" s="132">
        <v>7</v>
      </c>
      <c r="P3126" s="4" t="e">
        <f>VLOOKUP(H3126,Stock_list!A:Y,25,FALSE)</f>
        <v>#N/A</v>
      </c>
      <c r="Q3126" s="143"/>
      <c r="T3126" s="144"/>
      <c r="U3126" s="145" t="e">
        <f>VLOOKUP(H3126,Stock_list!A:N,14,FALSE)</f>
        <v>#N/A</v>
      </c>
    </row>
    <row r="3127" spans="1:21" ht="16.5" customHeight="1">
      <c r="A3127" s="159" t="s">
        <v>285</v>
      </c>
      <c r="B3127" s="114" t="str">
        <f>VLOOKUP(A3127,'Data pick slip'!B:F,5,FALSE)</f>
        <v>KHJ-MC100-00</v>
      </c>
      <c r="F3127" s="157" t="s">
        <v>227</v>
      </c>
      <c r="H3127" s="138">
        <v>1442</v>
      </c>
      <c r="I3127" s="139" t="e">
        <f>VLOOKUP(H3127,Stock_list!A:R,18,FALSE)</f>
        <v>#N/A</v>
      </c>
      <c r="J3127" s="139" t="e">
        <f>VLOOKUP(H3127,Stock_list!A:S,17,FALSE)</f>
        <v>#N/A</v>
      </c>
      <c r="K3127" s="51" t="e">
        <f>VLOOKUP(H3127,Stock_list!A:T,16,FALSE)</f>
        <v>#N/A</v>
      </c>
      <c r="L3127" s="4">
        <v>44741</v>
      </c>
      <c r="M3127" s="140">
        <v>50</v>
      </c>
      <c r="P3127" s="4" t="e">
        <f>VLOOKUP(H3127,Stock_list!A:Y,25,FALSE)</f>
        <v>#N/A</v>
      </c>
      <c r="Q3127" s="143"/>
      <c r="T3127" s="144"/>
      <c r="U3127" s="145" t="e">
        <f>VLOOKUP(H3127,Stock_list!A:N,14,FALSE)</f>
        <v>#N/A</v>
      </c>
    </row>
    <row r="3128" spans="1:21" ht="16.5" customHeight="1">
      <c r="A3128" s="159" t="s">
        <v>264</v>
      </c>
      <c r="B3128" s="114" t="str">
        <f>VLOOKUP(A3128,'Data pick slip'!B:F,5,FALSE)</f>
        <v>KHJ-MC200-00</v>
      </c>
      <c r="F3128" s="157" t="s">
        <v>227</v>
      </c>
      <c r="H3128" s="138">
        <v>1442</v>
      </c>
      <c r="I3128" s="139" t="e">
        <f>VLOOKUP(H3128,Stock_list!A:R,18,FALSE)</f>
        <v>#N/A</v>
      </c>
      <c r="J3128" s="139" t="e">
        <f>VLOOKUP(H3128,Stock_list!A:S,17,FALSE)</f>
        <v>#N/A</v>
      </c>
      <c r="K3128" s="51" t="e">
        <f>VLOOKUP(H3128,Stock_list!A:T,16,FALSE)</f>
        <v>#N/A</v>
      </c>
      <c r="L3128" s="4">
        <v>44586</v>
      </c>
      <c r="M3128" s="140">
        <v>10</v>
      </c>
      <c r="P3128" s="4" t="e">
        <f>VLOOKUP(H3128,Stock_list!A:Y,25,FALSE)</f>
        <v>#N/A</v>
      </c>
      <c r="Q3128" s="143"/>
      <c r="T3128" s="144"/>
      <c r="U3128" s="145" t="e">
        <f>VLOOKUP(H3128,Stock_list!A:N,14,FALSE)</f>
        <v>#N/A</v>
      </c>
    </row>
    <row r="3129" spans="1:21" ht="16.5" customHeight="1">
      <c r="A3129" s="159" t="s">
        <v>267</v>
      </c>
      <c r="B3129" s="114" t="str">
        <f>VLOOKUP(A3129,'Data pick slip'!B:F,5,FALSE)</f>
        <v>KHJ-MC600-00</v>
      </c>
      <c r="F3129" s="157" t="s">
        <v>227</v>
      </c>
      <c r="H3129" s="138">
        <v>1442</v>
      </c>
      <c r="I3129" s="139" t="e">
        <f>VLOOKUP(H3129,Stock_list!A:R,18,FALSE)</f>
        <v>#N/A</v>
      </c>
      <c r="J3129" s="139" t="e">
        <f>VLOOKUP(H3129,Stock_list!A:S,17,FALSE)</f>
        <v>#N/A</v>
      </c>
      <c r="K3129" s="51" t="e">
        <f>VLOOKUP(H3129,Stock_list!A:T,16,FALSE)</f>
        <v>#N/A</v>
      </c>
      <c r="L3129" s="4">
        <v>44586</v>
      </c>
      <c r="M3129" s="140">
        <v>1</v>
      </c>
      <c r="P3129" s="4" t="e">
        <f>VLOOKUP(H3129,Stock_list!A:Y,25,FALSE)</f>
        <v>#N/A</v>
      </c>
      <c r="Q3129" s="143"/>
      <c r="T3129" s="144"/>
      <c r="U3129" s="145" t="e">
        <f>VLOOKUP(H3129,Stock_list!A:N,14,FALSE)</f>
        <v>#N/A</v>
      </c>
    </row>
    <row r="3130" spans="1:21" ht="16.5" customHeight="1">
      <c r="A3130" s="159" t="s">
        <v>285</v>
      </c>
      <c r="B3130" s="114" t="str">
        <f>VLOOKUP(A3130,'Data pick slip'!B:F,5,FALSE)</f>
        <v>KHJ-MC100-00</v>
      </c>
      <c r="F3130" s="157" t="s">
        <v>227</v>
      </c>
      <c r="H3130" s="138">
        <v>1445</v>
      </c>
      <c r="I3130" s="139" t="e">
        <f>VLOOKUP(H3130,Stock_list!A:R,18,FALSE)</f>
        <v>#N/A</v>
      </c>
      <c r="J3130" s="139" t="e">
        <f>VLOOKUP(H3130,Stock_list!A:S,17,FALSE)</f>
        <v>#N/A</v>
      </c>
      <c r="K3130" s="51" t="e">
        <f>VLOOKUP(H3130,Stock_list!A:T,16,FALSE)</f>
        <v>#N/A</v>
      </c>
      <c r="L3130" s="4">
        <v>44665</v>
      </c>
      <c r="M3130" s="140">
        <v>40</v>
      </c>
      <c r="P3130" s="4" t="e">
        <f>VLOOKUP(H3130,Stock_list!A:Y,25,FALSE)</f>
        <v>#N/A</v>
      </c>
      <c r="Q3130" s="143"/>
      <c r="T3130" s="144"/>
      <c r="U3130" s="145" t="e">
        <f>VLOOKUP(H3130,Stock_list!A:N,14,FALSE)</f>
        <v>#N/A</v>
      </c>
    </row>
    <row r="3131" spans="1:21" ht="16.5" customHeight="1">
      <c r="A3131" s="159" t="s">
        <v>264</v>
      </c>
      <c r="B3131" s="114" t="str">
        <f>VLOOKUP(A3131,'Data pick slip'!B:F,5,FALSE)</f>
        <v>KHJ-MC200-00</v>
      </c>
      <c r="F3131" s="157" t="s">
        <v>227</v>
      </c>
      <c r="H3131" s="138">
        <v>1445</v>
      </c>
      <c r="I3131" s="139" t="e">
        <f>VLOOKUP(H3131,Stock_list!A:R,18,FALSE)</f>
        <v>#N/A</v>
      </c>
      <c r="J3131" s="139" t="e">
        <f>VLOOKUP(H3131,Stock_list!A:S,17,FALSE)</f>
        <v>#N/A</v>
      </c>
      <c r="K3131" s="51" t="e">
        <f>VLOOKUP(H3131,Stock_list!A:T,16,FALSE)</f>
        <v>#N/A</v>
      </c>
      <c r="L3131" s="4">
        <v>44665</v>
      </c>
      <c r="M3131" s="140">
        <v>8</v>
      </c>
      <c r="P3131" s="4" t="e">
        <f>VLOOKUP(H3131,Stock_list!A:Y,25,FALSE)</f>
        <v>#N/A</v>
      </c>
      <c r="Q3131" s="143"/>
      <c r="T3131" s="144"/>
      <c r="U3131" s="145" t="e">
        <f>VLOOKUP(H3131,Stock_list!A:N,14,FALSE)</f>
        <v>#N/A</v>
      </c>
    </row>
    <row r="3132" spans="1:21" ht="16.5" customHeight="1">
      <c r="A3132" s="159" t="s">
        <v>265</v>
      </c>
      <c r="B3132" s="114" t="str">
        <f>VLOOKUP(A3132,'Data pick slip'!B:F,5,FALSE)</f>
        <v>KHJ-MC400-00</v>
      </c>
      <c r="F3132" s="157" t="s">
        <v>227</v>
      </c>
      <c r="H3132" s="138">
        <v>1445</v>
      </c>
      <c r="I3132" s="139" t="e">
        <f>VLOOKUP(H3132,Stock_list!A:R,18,FALSE)</f>
        <v>#N/A</v>
      </c>
      <c r="J3132" s="139" t="e">
        <f>VLOOKUP(H3132,Stock_list!A:S,17,FALSE)</f>
        <v>#N/A</v>
      </c>
      <c r="K3132" s="51" t="e">
        <f>VLOOKUP(H3132,Stock_list!A:T,16,FALSE)</f>
        <v>#N/A</v>
      </c>
      <c r="L3132" s="4">
        <v>44665</v>
      </c>
      <c r="M3132" s="140">
        <v>8</v>
      </c>
      <c r="P3132" s="4" t="e">
        <f>VLOOKUP(H3132,Stock_list!A:Y,25,FALSE)</f>
        <v>#N/A</v>
      </c>
      <c r="Q3132" s="143"/>
      <c r="T3132" s="144"/>
      <c r="U3132" s="145" t="e">
        <f>VLOOKUP(H3132,Stock_list!A:N,14,FALSE)</f>
        <v>#N/A</v>
      </c>
    </row>
    <row r="3133" spans="1:21" ht="16.5" customHeight="1">
      <c r="A3133" s="159" t="s">
        <v>265</v>
      </c>
      <c r="B3133" s="114" t="str">
        <f>VLOOKUP(A3133,'Data pick slip'!B:F,5,FALSE)</f>
        <v>KHJ-MC400-00</v>
      </c>
      <c r="F3133" s="157" t="s">
        <v>270</v>
      </c>
      <c r="I3133" s="139" t="s">
        <v>611</v>
      </c>
      <c r="J3133" s="270" t="s">
        <v>978</v>
      </c>
      <c r="K3133" s="51" t="s">
        <v>225</v>
      </c>
      <c r="L3133" s="4">
        <v>44382</v>
      </c>
      <c r="M3133" s="140">
        <v>2</v>
      </c>
      <c r="P3133" s="4" t="s">
        <v>214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266</v>
      </c>
      <c r="B3134" s="114" t="str">
        <f>VLOOKUP(A3134,'Data pick slip'!B:F,5,FALSE)</f>
        <v>KHJ-MC500-00</v>
      </c>
      <c r="F3134" s="157" t="s">
        <v>270</v>
      </c>
      <c r="I3134" s="139" t="s">
        <v>611</v>
      </c>
      <c r="J3134" s="270" t="s">
        <v>979</v>
      </c>
      <c r="K3134" s="51" t="s">
        <v>225</v>
      </c>
      <c r="L3134" s="4">
        <v>44382</v>
      </c>
      <c r="M3134" s="140">
        <v>2</v>
      </c>
      <c r="P3134" s="4" t="s">
        <v>214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267</v>
      </c>
      <c r="B3135" s="114" t="str">
        <f>VLOOKUP(A3135,'Data pick slip'!B:F,5,FALSE)</f>
        <v>KHJ-MC600-00</v>
      </c>
      <c r="F3135" s="157" t="s">
        <v>270</v>
      </c>
      <c r="I3135" s="139" t="s">
        <v>611</v>
      </c>
      <c r="J3135" s="270" t="s">
        <v>979</v>
      </c>
      <c r="K3135" s="51" t="s">
        <v>225</v>
      </c>
      <c r="L3135" s="4">
        <v>44382</v>
      </c>
      <c r="M3135" s="140">
        <v>1</v>
      </c>
      <c r="P3135" s="4" t="s">
        <v>214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264</v>
      </c>
      <c r="B3136" s="114" t="str">
        <f>VLOOKUP(A3136,'Data pick slip'!B:F,5,FALSE)</f>
        <v>KHJ-MC200-00</v>
      </c>
      <c r="F3136" s="157" t="s">
        <v>270</v>
      </c>
      <c r="I3136" s="139" t="s">
        <v>617</v>
      </c>
      <c r="J3136" s="270" t="s">
        <v>980</v>
      </c>
      <c r="K3136" s="51" t="s">
        <v>225</v>
      </c>
      <c r="L3136" s="4">
        <v>44379</v>
      </c>
      <c r="M3136" s="140">
        <v>20</v>
      </c>
      <c r="P3136" s="4" t="s">
        <v>214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267</v>
      </c>
      <c r="B3137" s="114" t="str">
        <f>VLOOKUP(A3137,'Data pick slip'!B:F,5,FALSE)</f>
        <v>KHJ-MC600-00</v>
      </c>
      <c r="F3137" s="157" t="s">
        <v>270</v>
      </c>
      <c r="I3137" s="139" t="s">
        <v>617</v>
      </c>
      <c r="J3137" s="267" t="s">
        <v>981</v>
      </c>
      <c r="K3137" s="51" t="s">
        <v>225</v>
      </c>
      <c r="L3137" s="4">
        <v>44383</v>
      </c>
      <c r="M3137" s="140">
        <v>1</v>
      </c>
      <c r="P3137" s="4" t="s">
        <v>214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268</v>
      </c>
      <c r="B3138" s="114" t="str">
        <f>VLOOKUP(A3138,'Data pick slip'!B:F,5,FALSE)</f>
        <v>KHJ-MC700-00</v>
      </c>
      <c r="F3138" s="157" t="s">
        <v>270</v>
      </c>
      <c r="I3138" s="139" t="s">
        <v>611</v>
      </c>
      <c r="J3138" s="270" t="s">
        <v>982</v>
      </c>
      <c r="K3138" s="51" t="s">
        <v>225</v>
      </c>
      <c r="L3138" s="4">
        <v>44370</v>
      </c>
      <c r="M3138" s="140">
        <v>1</v>
      </c>
      <c r="P3138" s="4" t="s">
        <v>214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261</v>
      </c>
      <c r="B3139" s="114" t="str">
        <f>VLOOKUP(A3139,'Data pick slip'!B:F,5,FALSE)</f>
        <v>KHJ-MC100-00</v>
      </c>
      <c r="F3139" s="157" t="s">
        <v>270</v>
      </c>
      <c r="H3139" s="138">
        <v>1459</v>
      </c>
      <c r="I3139" s="139" t="e">
        <f>VLOOKUP(H3139,Stock_list!A:R,18,FALSE)</f>
        <v>#N/A</v>
      </c>
      <c r="J3139" s="139" t="e">
        <f>VLOOKUP(H3139,Stock_list!A:S,17,FALSE)</f>
        <v>#N/A</v>
      </c>
      <c r="K3139" s="51" t="e">
        <f>VLOOKUP(H3139,Stock_list!A:T,16,FALSE)</f>
        <v>#N/A</v>
      </c>
      <c r="L3139" s="4">
        <v>44643</v>
      </c>
      <c r="M3139" s="140">
        <v>20</v>
      </c>
      <c r="P3139" s="4" t="e">
        <f>VLOOKUP(H3139,Stock_list!A:Y,25,FALSE)</f>
        <v>#N/A</v>
      </c>
      <c r="Q3139" s="143"/>
      <c r="T3139" s="144"/>
      <c r="U3139" s="145" t="e">
        <f>VLOOKUP(H3139,Stock_list!A:N,14,FALSE)</f>
        <v>#N/A</v>
      </c>
    </row>
    <row r="3140" spans="1:21" ht="16.5" customHeight="1">
      <c r="A3140" s="159" t="s">
        <v>261</v>
      </c>
      <c r="B3140" s="114" t="str">
        <f>VLOOKUP(A3140,'Data pick slip'!B:F,5,FALSE)</f>
        <v>KHJ-MC100-00</v>
      </c>
      <c r="F3140" s="157" t="s">
        <v>270</v>
      </c>
      <c r="I3140" s="139" t="s">
        <v>808</v>
      </c>
      <c r="J3140" s="269" t="s">
        <v>983</v>
      </c>
      <c r="K3140" s="51" t="s">
        <v>225</v>
      </c>
      <c r="L3140" s="4">
        <v>44403</v>
      </c>
      <c r="M3140" s="140">
        <v>70</v>
      </c>
      <c r="P3140" s="4" t="s">
        <v>214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264</v>
      </c>
      <c r="B3141" s="114" t="str">
        <f>VLOOKUP(A3141,'Data pick slip'!B:F,5,FALSE)</f>
        <v>KHJ-MC200-00</v>
      </c>
      <c r="F3141" s="157" t="s">
        <v>270</v>
      </c>
      <c r="I3141" s="139" t="s">
        <v>808</v>
      </c>
      <c r="J3141" s="269" t="s">
        <v>983</v>
      </c>
      <c r="K3141" s="51" t="s">
        <v>225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266</v>
      </c>
      <c r="B3142" s="114" t="str">
        <f>VLOOKUP(A3142,'Data pick slip'!B:F,5,FALSE)</f>
        <v>KHJ-MC500-00</v>
      </c>
      <c r="F3142" s="157" t="s">
        <v>270</v>
      </c>
      <c r="I3142" s="139" t="s">
        <v>808</v>
      </c>
      <c r="J3142" s="269" t="s">
        <v>983</v>
      </c>
      <c r="K3142" s="51" t="s">
        <v>225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268</v>
      </c>
      <c r="B3143" s="114" t="str">
        <f>VLOOKUP(A3143,'Data pick slip'!B:F,5,FALSE)</f>
        <v>KHJ-MC700-00</v>
      </c>
      <c r="F3143" s="157" t="s">
        <v>227</v>
      </c>
      <c r="I3143" s="139" t="s">
        <v>617</v>
      </c>
      <c r="J3143" s="267" t="s">
        <v>984</v>
      </c>
      <c r="K3143" s="51" t="s">
        <v>225</v>
      </c>
      <c r="L3143" s="4">
        <v>44403</v>
      </c>
      <c r="M3143" s="140">
        <v>1</v>
      </c>
      <c r="P3143" s="4" t="s">
        <v>214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268</v>
      </c>
      <c r="B3144" s="114" t="str">
        <f>VLOOKUP(A3144,'Data pick slip'!B:F,5,FALSE)</f>
        <v>KHJ-MC700-00</v>
      </c>
      <c r="F3144" s="157" t="s">
        <v>270</v>
      </c>
      <c r="I3144" s="139" t="s">
        <v>617</v>
      </c>
      <c r="J3144" s="267" t="s">
        <v>985</v>
      </c>
      <c r="K3144" s="51" t="s">
        <v>225</v>
      </c>
      <c r="L3144" s="4">
        <v>44403</v>
      </c>
      <c r="M3144" s="140">
        <v>1</v>
      </c>
      <c r="P3144" s="4" t="s">
        <v>214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285</v>
      </c>
      <c r="B3145" s="114" t="str">
        <f>VLOOKUP(A3145,'Data pick slip'!B:F,5,FALSE)</f>
        <v>KHJ-MC100-00</v>
      </c>
      <c r="F3145" s="157" t="s">
        <v>227</v>
      </c>
      <c r="H3145" s="138">
        <v>1465</v>
      </c>
      <c r="I3145" s="139" t="e">
        <f>VLOOKUP(H3145,Stock_list!A:R,18,FALSE)</f>
        <v>#N/A</v>
      </c>
      <c r="J3145" s="139" t="e">
        <f>VLOOKUP(H3145,Stock_list!A:S,17,FALSE)</f>
        <v>#N/A</v>
      </c>
      <c r="K3145" s="51" t="e">
        <f>VLOOKUP(H3145,Stock_list!A:T,16,FALSE)</f>
        <v>#N/A</v>
      </c>
      <c r="L3145" s="4">
        <v>44510</v>
      </c>
      <c r="M3145" s="132">
        <v>90</v>
      </c>
      <c r="P3145" s="4" t="e">
        <f>VLOOKUP(H3145,Stock_list!A:Y,25,FALSE)</f>
        <v>#N/A</v>
      </c>
      <c r="Q3145" s="143"/>
      <c r="T3145" s="144"/>
      <c r="U3145" s="145" t="e">
        <f>VLOOKUP(H3145,Stock_list!A:N,14,FALSE)</f>
        <v>#N/A</v>
      </c>
    </row>
    <row r="3146" spans="1:21" ht="16.5" customHeight="1">
      <c r="A3146" s="159" t="s">
        <v>264</v>
      </c>
      <c r="B3146" s="114" t="str">
        <f>VLOOKUP(A3146,'Data pick slip'!B:F,5,FALSE)</f>
        <v>KHJ-MC200-00</v>
      </c>
      <c r="F3146" s="157" t="s">
        <v>227</v>
      </c>
      <c r="H3146" s="138">
        <v>1465</v>
      </c>
      <c r="I3146" s="139" t="e">
        <f>VLOOKUP(H3146,Stock_list!A:R,18,FALSE)</f>
        <v>#N/A</v>
      </c>
      <c r="J3146" s="139" t="e">
        <f>VLOOKUP(H3146,Stock_list!A:S,17,FALSE)</f>
        <v>#N/A</v>
      </c>
      <c r="K3146" s="51" t="e">
        <f>VLOOKUP(H3146,Stock_list!A:T,16,FALSE)</f>
        <v>#N/A</v>
      </c>
      <c r="L3146" s="4">
        <v>44510</v>
      </c>
      <c r="M3146" s="132">
        <v>12</v>
      </c>
      <c r="P3146" s="4" t="e">
        <f>VLOOKUP(H3146,Stock_list!A:Y,25,FALSE)</f>
        <v>#N/A</v>
      </c>
      <c r="Q3146" s="143"/>
      <c r="T3146" s="144"/>
      <c r="U3146" s="145" t="e">
        <f>VLOOKUP(H3146,Stock_list!A:N,14,FALSE)</f>
        <v>#N/A</v>
      </c>
    </row>
    <row r="3147" spans="1:21" ht="16.5" customHeight="1">
      <c r="A3147" s="159" t="s">
        <v>285</v>
      </c>
      <c r="B3147" s="114" t="str">
        <f>VLOOKUP(A3147,'Data pick slip'!B:F,5,FALSE)</f>
        <v>KHJ-MC100-00</v>
      </c>
      <c r="F3147" s="157" t="s">
        <v>227</v>
      </c>
      <c r="H3147" s="138">
        <v>1467</v>
      </c>
      <c r="I3147" s="139" t="e">
        <f>VLOOKUP(H3147,Stock_list!A:R,18,FALSE)</f>
        <v>#N/A</v>
      </c>
      <c r="J3147" s="139" t="e">
        <f>VLOOKUP(H3147,Stock_list!A:S,17,FALSE)</f>
        <v>#N/A</v>
      </c>
      <c r="K3147" s="51" t="e">
        <f>VLOOKUP(H3147,Stock_list!A:T,16,FALSE)</f>
        <v>#N/A</v>
      </c>
      <c r="L3147" s="4">
        <v>44532</v>
      </c>
      <c r="M3147" s="140">
        <v>33</v>
      </c>
      <c r="P3147" s="4" t="e">
        <f>VLOOKUP(H3147,Stock_list!A:Y,25,FALSE)</f>
        <v>#N/A</v>
      </c>
      <c r="Q3147" s="143"/>
      <c r="T3147" s="144"/>
      <c r="U3147" s="145" t="e">
        <f>VLOOKUP(H3147,Stock_list!A:N,14,FALSE)</f>
        <v>#N/A</v>
      </c>
    </row>
    <row r="3148" spans="1:21" ht="16.5" customHeight="1">
      <c r="A3148" s="159" t="s">
        <v>264</v>
      </c>
      <c r="B3148" s="114" t="str">
        <f>VLOOKUP(A3148,'Data pick slip'!B:F,5,FALSE)</f>
        <v>KHJ-MC200-00</v>
      </c>
      <c r="F3148" s="157" t="s">
        <v>227</v>
      </c>
      <c r="H3148" s="138">
        <v>1467</v>
      </c>
      <c r="I3148" s="139" t="e">
        <f>VLOOKUP(H3148,Stock_list!A:R,18,FALSE)</f>
        <v>#N/A</v>
      </c>
      <c r="J3148" s="139" t="e">
        <f>VLOOKUP(H3148,Stock_list!A:S,17,FALSE)</f>
        <v>#N/A</v>
      </c>
      <c r="K3148" s="51" t="e">
        <f>VLOOKUP(H3148,Stock_list!A:T,16,FALSE)</f>
        <v>#N/A</v>
      </c>
      <c r="L3148" s="4">
        <v>44532</v>
      </c>
      <c r="M3148" s="140">
        <v>10</v>
      </c>
      <c r="P3148" s="4" t="e">
        <f>VLOOKUP(H3148,Stock_list!A:Y,25,FALSE)</f>
        <v>#N/A</v>
      </c>
      <c r="Q3148" s="143"/>
      <c r="T3148" s="144"/>
      <c r="U3148" s="145" t="e">
        <f>VLOOKUP(H3148,Stock_list!A:N,14,FALSE)</f>
        <v>#N/A</v>
      </c>
    </row>
    <row r="3149" spans="1:21" ht="16.5" customHeight="1">
      <c r="A3149" s="159" t="s">
        <v>285</v>
      </c>
      <c r="B3149" s="114" t="str">
        <f>VLOOKUP(A3149,'Data pick slip'!B:F,5,FALSE)</f>
        <v>KHJ-MC100-00</v>
      </c>
      <c r="F3149" s="157" t="s">
        <v>227</v>
      </c>
      <c r="H3149" s="138">
        <v>1468</v>
      </c>
      <c r="I3149" s="139" t="e">
        <f>VLOOKUP(H3149,Stock_list!A:R,18,FALSE)</f>
        <v>#N/A</v>
      </c>
      <c r="J3149" s="139" t="e">
        <f>VLOOKUP(H3149,Stock_list!A:S,17,FALSE)</f>
        <v>#N/A</v>
      </c>
      <c r="K3149" s="51" t="e">
        <f>VLOOKUP(H3149,Stock_list!A:T,16,FALSE)</f>
        <v>#N/A</v>
      </c>
      <c r="L3149" s="4">
        <v>44648</v>
      </c>
      <c r="M3149" s="140">
        <v>60</v>
      </c>
      <c r="P3149" s="4" t="e">
        <f>VLOOKUP(H3149,Stock_list!A:Y,25,FALSE)</f>
        <v>#N/A</v>
      </c>
      <c r="Q3149" s="143"/>
      <c r="T3149" s="144"/>
      <c r="U3149" s="145" t="e">
        <f>VLOOKUP(H3149,Stock_list!A:N,14,FALSE)</f>
        <v>#N/A</v>
      </c>
    </row>
    <row r="3150" spans="1:21" ht="16.5" customHeight="1">
      <c r="A3150" s="159" t="s">
        <v>264</v>
      </c>
      <c r="B3150" s="114" t="str">
        <f>VLOOKUP(A3150,'Data pick slip'!B:F,5,FALSE)</f>
        <v>KHJ-MC200-00</v>
      </c>
      <c r="F3150" s="157" t="s">
        <v>227</v>
      </c>
      <c r="H3150" s="138">
        <v>1468</v>
      </c>
      <c r="I3150" s="139" t="e">
        <f>VLOOKUP(H3150,Stock_list!A:R,18,FALSE)</f>
        <v>#N/A</v>
      </c>
      <c r="J3150" s="139" t="e">
        <f>VLOOKUP(H3150,Stock_list!A:S,17,FALSE)</f>
        <v>#N/A</v>
      </c>
      <c r="K3150" s="51" t="e">
        <f>VLOOKUP(H3150,Stock_list!A:T,16,FALSE)</f>
        <v>#N/A</v>
      </c>
      <c r="L3150" s="4">
        <v>44648</v>
      </c>
      <c r="M3150" s="140">
        <v>20</v>
      </c>
      <c r="P3150" s="4" t="e">
        <f>VLOOKUP(H3150,Stock_list!A:Y,25,FALSE)</f>
        <v>#N/A</v>
      </c>
      <c r="Q3150" s="143"/>
      <c r="T3150" s="144"/>
      <c r="U3150" s="145" t="e">
        <f>VLOOKUP(H3150,Stock_list!A:N,14,FALSE)</f>
        <v>#N/A</v>
      </c>
    </row>
    <row r="3151" spans="1:21" ht="16.5" customHeight="1">
      <c r="A3151" s="159" t="s">
        <v>265</v>
      </c>
      <c r="B3151" s="114" t="str">
        <f>VLOOKUP(A3151,'Data pick slip'!B:F,5,FALSE)</f>
        <v>KHJ-MC400-00</v>
      </c>
      <c r="F3151" s="157" t="s">
        <v>227</v>
      </c>
      <c r="H3151" s="138">
        <v>1468</v>
      </c>
      <c r="I3151" s="139" t="e">
        <f>VLOOKUP(H3151,Stock_list!A:R,18,FALSE)</f>
        <v>#N/A</v>
      </c>
      <c r="J3151" s="139" t="e">
        <f>VLOOKUP(H3151,Stock_list!A:S,17,FALSE)</f>
        <v>#N/A</v>
      </c>
      <c r="K3151" s="51" t="e">
        <f>VLOOKUP(H3151,Stock_list!A:T,16,FALSE)</f>
        <v>#N/A</v>
      </c>
      <c r="L3151" s="4">
        <v>44648</v>
      </c>
      <c r="M3151" s="140">
        <v>5</v>
      </c>
      <c r="P3151" s="4" t="e">
        <f>VLOOKUP(H3151,Stock_list!A:Y,25,FALSE)</f>
        <v>#N/A</v>
      </c>
      <c r="Q3151" s="143"/>
      <c r="T3151" s="144"/>
      <c r="U3151" s="145" t="e">
        <f>VLOOKUP(H3151,Stock_list!A:N,14,FALSE)</f>
        <v>#N/A</v>
      </c>
    </row>
    <row r="3152" spans="1:21" ht="16.5" customHeight="1">
      <c r="A3152" s="159" t="s">
        <v>266</v>
      </c>
      <c r="B3152" s="114" t="str">
        <f>VLOOKUP(A3152,'Data pick slip'!B:F,5,FALSE)</f>
        <v>KHJ-MC500-00</v>
      </c>
      <c r="F3152" s="157" t="s">
        <v>227</v>
      </c>
      <c r="H3152" s="138">
        <v>1468</v>
      </c>
      <c r="I3152" s="139" t="e">
        <f>VLOOKUP(H3152,Stock_list!A:R,18,FALSE)</f>
        <v>#N/A</v>
      </c>
      <c r="J3152" s="139" t="e">
        <f>VLOOKUP(H3152,Stock_list!A:S,17,FALSE)</f>
        <v>#N/A</v>
      </c>
      <c r="K3152" s="51" t="e">
        <f>VLOOKUP(H3152,Stock_list!A:T,16,FALSE)</f>
        <v>#N/A</v>
      </c>
      <c r="L3152" s="4">
        <v>44648</v>
      </c>
      <c r="M3152" s="140">
        <v>2</v>
      </c>
      <c r="P3152" s="4" t="e">
        <f>VLOOKUP(H3152,Stock_list!A:Y,25,FALSE)</f>
        <v>#N/A</v>
      </c>
      <c r="Q3152" s="143"/>
      <c r="T3152" s="144"/>
      <c r="U3152" s="145" t="e">
        <f>VLOOKUP(H3152,Stock_list!A:N,14,FALSE)</f>
        <v>#N/A</v>
      </c>
    </row>
    <row r="3153" spans="1:21" ht="16.5" customHeight="1">
      <c r="A3153" s="159" t="s">
        <v>285</v>
      </c>
      <c r="B3153" s="114" t="str">
        <f>VLOOKUP(A3153,'Data pick slip'!B:F,5,FALSE)</f>
        <v>KHJ-MC100-00</v>
      </c>
      <c r="F3153" s="157" t="s">
        <v>227</v>
      </c>
      <c r="H3153" s="138">
        <v>1468</v>
      </c>
      <c r="I3153" s="139" t="e">
        <f>VLOOKUP(H3153,Stock_list!A:R,18,FALSE)</f>
        <v>#N/A</v>
      </c>
      <c r="J3153" s="139" t="e">
        <f>VLOOKUP(H3153,Stock_list!A:S,17,FALSE)</f>
        <v>#N/A</v>
      </c>
      <c r="K3153" s="51" t="e">
        <f>VLOOKUP(H3153,Stock_list!A:T,16,FALSE)</f>
        <v>#N/A</v>
      </c>
      <c r="L3153" s="291">
        <v>44671</v>
      </c>
      <c r="M3153" s="140">
        <v>160</v>
      </c>
      <c r="P3153" s="4" t="e">
        <f>VLOOKUP(H3153,Stock_list!A:Y,25,FALSE)</f>
        <v>#N/A</v>
      </c>
      <c r="Q3153" s="143"/>
      <c r="T3153" s="144"/>
      <c r="U3153" s="145" t="e">
        <f>VLOOKUP(H3153,Stock_list!A:N,14,FALSE)</f>
        <v>#N/A</v>
      </c>
    </row>
    <row r="3154" spans="1:21" ht="16.5" customHeight="1">
      <c r="A3154" s="159" t="s">
        <v>264</v>
      </c>
      <c r="B3154" s="114" t="str">
        <f>VLOOKUP(A3154,'Data pick slip'!B:F,5,FALSE)</f>
        <v>KHJ-MC200-00</v>
      </c>
      <c r="F3154" s="157" t="s">
        <v>227</v>
      </c>
      <c r="H3154" s="138">
        <v>1468</v>
      </c>
      <c r="I3154" s="139" t="e">
        <f>VLOOKUP(H3154,Stock_list!A:R,18,FALSE)</f>
        <v>#N/A</v>
      </c>
      <c r="J3154" s="139" t="e">
        <f>VLOOKUP(H3154,Stock_list!A:S,17,FALSE)</f>
        <v>#N/A</v>
      </c>
      <c r="K3154" s="51" t="e">
        <f>VLOOKUP(H3154,Stock_list!A:T,16,FALSE)</f>
        <v>#N/A</v>
      </c>
      <c r="L3154" s="291">
        <v>44671</v>
      </c>
      <c r="M3154" s="140">
        <v>56</v>
      </c>
      <c r="P3154" s="4" t="e">
        <f>VLOOKUP(H3154,Stock_list!A:Y,25,FALSE)</f>
        <v>#N/A</v>
      </c>
      <c r="Q3154" s="143"/>
      <c r="T3154" s="144"/>
      <c r="U3154" s="145" t="e">
        <f>VLOOKUP(H3154,Stock_list!A:N,14,FALSE)</f>
        <v>#N/A</v>
      </c>
    </row>
    <row r="3155" spans="1:21" ht="16.5" customHeight="1">
      <c r="A3155" s="159" t="s">
        <v>265</v>
      </c>
      <c r="B3155" s="114" t="str">
        <f>VLOOKUP(A3155,'Data pick slip'!B:F,5,FALSE)</f>
        <v>KHJ-MC400-00</v>
      </c>
      <c r="F3155" s="157" t="s">
        <v>227</v>
      </c>
      <c r="H3155" s="138">
        <v>1468</v>
      </c>
      <c r="I3155" s="139" t="e">
        <f>VLOOKUP(H3155,Stock_list!A:R,18,FALSE)</f>
        <v>#N/A</v>
      </c>
      <c r="J3155" s="139" t="e">
        <f>VLOOKUP(H3155,Stock_list!A:S,17,FALSE)</f>
        <v>#N/A</v>
      </c>
      <c r="K3155" s="51" t="e">
        <f>VLOOKUP(H3155,Stock_list!A:T,16,FALSE)</f>
        <v>#N/A</v>
      </c>
      <c r="L3155" s="291">
        <v>44671</v>
      </c>
      <c r="M3155" s="140">
        <v>5</v>
      </c>
      <c r="P3155" s="4" t="e">
        <f>VLOOKUP(H3155,Stock_list!A:Y,25,FALSE)</f>
        <v>#N/A</v>
      </c>
      <c r="Q3155" s="143"/>
      <c r="T3155" s="144"/>
      <c r="U3155" s="145" t="e">
        <f>VLOOKUP(H3155,Stock_list!A:N,14,FALSE)</f>
        <v>#N/A</v>
      </c>
    </row>
    <row r="3156" spans="1:21" ht="16.5" customHeight="1">
      <c r="A3156" s="159" t="s">
        <v>285</v>
      </c>
      <c r="B3156" s="114" t="str">
        <f>VLOOKUP(A3156,'Data pick slip'!B:F,5,FALSE)</f>
        <v>KHJ-MC100-00</v>
      </c>
      <c r="F3156" s="157" t="s">
        <v>227</v>
      </c>
      <c r="H3156" s="138">
        <v>1381</v>
      </c>
      <c r="I3156" s="139" t="e">
        <f>VLOOKUP(H3156,Stock_list!A:R,18,FALSE)</f>
        <v>#N/A</v>
      </c>
      <c r="J3156" s="139" t="e">
        <f>VLOOKUP(H3156,Stock_list!A:S,17,FALSE)</f>
        <v>#N/A</v>
      </c>
      <c r="K3156" s="51" t="e">
        <f>VLOOKUP(H3156,Stock_list!A:T,16,FALSE)</f>
        <v>#N/A</v>
      </c>
      <c r="L3156" s="4">
        <v>44672</v>
      </c>
      <c r="M3156" s="132">
        <v>30</v>
      </c>
      <c r="P3156" s="4" t="e">
        <f>VLOOKUP(H3156,Stock_list!A:Y,25,FALSE)</f>
        <v>#N/A</v>
      </c>
      <c r="Q3156" s="143"/>
      <c r="T3156" s="144"/>
      <c r="U3156" s="145" t="e">
        <f>VLOOKUP(H3156,Stock_list!A:N,14,FALSE)</f>
        <v>#N/A</v>
      </c>
    </row>
    <row r="3157" spans="1:21" ht="16.5" customHeight="1">
      <c r="A3157" s="159" t="s">
        <v>264</v>
      </c>
      <c r="B3157" s="114" t="str">
        <f>VLOOKUP(A3157,'Data pick slip'!B:F,5,FALSE)</f>
        <v>KHJ-MC200-00</v>
      </c>
      <c r="F3157" s="157" t="s">
        <v>227</v>
      </c>
      <c r="H3157" s="138">
        <v>1381</v>
      </c>
      <c r="I3157" s="139" t="e">
        <f>VLOOKUP(H3157,Stock_list!A:R,18,FALSE)</f>
        <v>#N/A</v>
      </c>
      <c r="J3157" s="139" t="e">
        <f>VLOOKUP(H3157,Stock_list!A:S,17,FALSE)</f>
        <v>#N/A</v>
      </c>
      <c r="K3157" s="51" t="e">
        <f>VLOOKUP(H3157,Stock_list!A:T,16,FALSE)</f>
        <v>#N/A</v>
      </c>
      <c r="L3157" s="4">
        <v>44672</v>
      </c>
      <c r="M3157" s="132">
        <v>4</v>
      </c>
      <c r="P3157" s="4" t="e">
        <f>VLOOKUP(H3157,Stock_list!A:Y,25,FALSE)</f>
        <v>#N/A</v>
      </c>
      <c r="Q3157" s="143"/>
      <c r="T3157" s="144"/>
      <c r="U3157" s="145" t="e">
        <f>VLOOKUP(H3157,Stock_list!A:N,14,FALSE)</f>
        <v>#N/A</v>
      </c>
    </row>
    <row r="3158" spans="1:21" ht="16.5" customHeight="1">
      <c r="A3158" s="159" t="s">
        <v>265</v>
      </c>
      <c r="B3158" s="114" t="str">
        <f>VLOOKUP(A3158,'Data pick slip'!B:F,5,FALSE)</f>
        <v>KHJ-MC400-00</v>
      </c>
      <c r="F3158" s="157" t="s">
        <v>227</v>
      </c>
      <c r="H3158" s="138">
        <v>1381</v>
      </c>
      <c r="I3158" s="139" t="e">
        <f>VLOOKUP(H3158,Stock_list!A:R,18,FALSE)</f>
        <v>#N/A</v>
      </c>
      <c r="J3158" s="139" t="e">
        <f>VLOOKUP(H3158,Stock_list!A:S,17,FALSE)</f>
        <v>#N/A</v>
      </c>
      <c r="K3158" s="51" t="e">
        <f>VLOOKUP(H3158,Stock_list!A:T,16,FALSE)</f>
        <v>#N/A</v>
      </c>
      <c r="L3158" s="4">
        <v>44672</v>
      </c>
      <c r="M3158" s="132">
        <v>1</v>
      </c>
      <c r="P3158" s="4" t="e">
        <f>VLOOKUP(H3158,Stock_list!A:Y,25,FALSE)</f>
        <v>#N/A</v>
      </c>
      <c r="Q3158" s="143"/>
      <c r="T3158" s="144"/>
      <c r="U3158" s="145" t="e">
        <f>VLOOKUP(H3158,Stock_list!A:N,14,FALSE)</f>
        <v>#N/A</v>
      </c>
    </row>
    <row r="3159" spans="1:21" ht="16.5" customHeight="1">
      <c r="A3159" s="159" t="s">
        <v>285</v>
      </c>
      <c r="B3159" s="114" t="str">
        <f>VLOOKUP(A3159,'Data pick slip'!B:F,5,FALSE)</f>
        <v>KHJ-MC100-00</v>
      </c>
      <c r="F3159" s="157" t="s">
        <v>227</v>
      </c>
      <c r="H3159" s="138">
        <v>1381</v>
      </c>
      <c r="I3159" s="139" t="e">
        <f>VLOOKUP(H3159,Stock_list!A:R,18,FALSE)</f>
        <v>#N/A</v>
      </c>
      <c r="J3159" s="139" t="e">
        <f>VLOOKUP(H3159,Stock_list!A:S,17,FALSE)</f>
        <v>#N/A</v>
      </c>
      <c r="K3159" s="51" t="e">
        <f>VLOOKUP(H3159,Stock_list!A:T,16,FALSE)</f>
        <v>#N/A</v>
      </c>
      <c r="L3159" s="4">
        <v>44650</v>
      </c>
      <c r="M3159" s="140">
        <v>30</v>
      </c>
      <c r="P3159" s="4" t="e">
        <f>VLOOKUP(H3159,Stock_list!A:Y,25,FALSE)</f>
        <v>#N/A</v>
      </c>
      <c r="Q3159" s="143"/>
      <c r="T3159" s="144"/>
      <c r="U3159" s="145" t="e">
        <f>VLOOKUP(H3159,Stock_list!A:N,14,FALSE)</f>
        <v>#N/A</v>
      </c>
    </row>
    <row r="3160" spans="1:21" ht="16.5" customHeight="1">
      <c r="A3160" s="159" t="s">
        <v>264</v>
      </c>
      <c r="B3160" s="114" t="str">
        <f>VLOOKUP(A3160,'Data pick slip'!B:F,5,FALSE)</f>
        <v>KHJ-MC200-00</v>
      </c>
      <c r="F3160" s="157" t="s">
        <v>227</v>
      </c>
      <c r="H3160" s="138">
        <v>1381</v>
      </c>
      <c r="I3160" s="139" t="e">
        <f>VLOOKUP(H3160,Stock_list!A:R,18,FALSE)</f>
        <v>#N/A</v>
      </c>
      <c r="J3160" s="139" t="e">
        <f>VLOOKUP(H3160,Stock_list!A:S,17,FALSE)</f>
        <v>#N/A</v>
      </c>
      <c r="K3160" s="51" t="e">
        <f>VLOOKUP(H3160,Stock_list!A:T,16,FALSE)</f>
        <v>#N/A</v>
      </c>
      <c r="L3160" s="4">
        <v>44650</v>
      </c>
      <c r="M3160" s="140">
        <v>4</v>
      </c>
      <c r="P3160" s="4" t="e">
        <f>VLOOKUP(H3160,Stock_list!A:Y,25,FALSE)</f>
        <v>#N/A</v>
      </c>
      <c r="Q3160" s="143"/>
      <c r="T3160" s="144"/>
      <c r="U3160" s="145" t="e">
        <f>VLOOKUP(H3160,Stock_list!A:N,14,FALSE)</f>
        <v>#N/A</v>
      </c>
    </row>
    <row r="3161" spans="1:21" ht="16.5" customHeight="1">
      <c r="A3161" s="159" t="s">
        <v>265</v>
      </c>
      <c r="B3161" s="114" t="str">
        <f>VLOOKUP(A3161,'Data pick slip'!B:F,5,FALSE)</f>
        <v>KHJ-MC400-00</v>
      </c>
      <c r="F3161" s="157" t="s">
        <v>227</v>
      </c>
      <c r="H3161" s="138">
        <v>1381</v>
      </c>
      <c r="I3161" s="139" t="e">
        <f>VLOOKUP(H3161,Stock_list!A:R,18,FALSE)</f>
        <v>#N/A</v>
      </c>
      <c r="J3161" s="139" t="e">
        <f>VLOOKUP(H3161,Stock_list!A:S,17,FALSE)</f>
        <v>#N/A</v>
      </c>
      <c r="K3161" s="51" t="e">
        <f>VLOOKUP(H3161,Stock_list!A:T,16,FALSE)</f>
        <v>#N/A</v>
      </c>
      <c r="L3161" s="4">
        <v>44650</v>
      </c>
      <c r="M3161" s="140">
        <v>1</v>
      </c>
      <c r="P3161" s="4" t="e">
        <f>VLOOKUP(H3161,Stock_list!A:Y,25,FALSE)</f>
        <v>#N/A</v>
      </c>
      <c r="Q3161" s="143"/>
      <c r="T3161" s="144"/>
      <c r="U3161" s="145" t="e">
        <f>VLOOKUP(H3161,Stock_list!A:N,14,FALSE)</f>
        <v>#N/A</v>
      </c>
    </row>
    <row r="3162" spans="1:21" ht="16.5" customHeight="1">
      <c r="A3162" s="159" t="s">
        <v>266</v>
      </c>
      <c r="B3162" s="114" t="str">
        <f>VLOOKUP(A3162,'Data pick slip'!B:F,5,FALSE)</f>
        <v>KHJ-MC500-00</v>
      </c>
      <c r="F3162" s="157" t="s">
        <v>227</v>
      </c>
      <c r="H3162" s="138">
        <v>1381</v>
      </c>
      <c r="I3162" s="139" t="e">
        <f>VLOOKUP(H3162,Stock_list!A:R,18,FALSE)</f>
        <v>#N/A</v>
      </c>
      <c r="J3162" s="139" t="e">
        <f>VLOOKUP(H3162,Stock_list!A:S,17,FALSE)</f>
        <v>#N/A</v>
      </c>
      <c r="K3162" s="51" t="e">
        <f>VLOOKUP(H3162,Stock_list!A:T,16,FALSE)</f>
        <v>#N/A</v>
      </c>
      <c r="L3162" s="4">
        <v>44650</v>
      </c>
      <c r="M3162" s="140">
        <v>1</v>
      </c>
      <c r="P3162" s="4" t="e">
        <f>VLOOKUP(H3162,Stock_list!A:Y,25,FALSE)</f>
        <v>#N/A</v>
      </c>
      <c r="Q3162" s="143"/>
      <c r="T3162" s="144"/>
      <c r="U3162" s="145" t="e">
        <f>VLOOKUP(H3162,Stock_list!A:N,14,FALSE)</f>
        <v>#N/A</v>
      </c>
    </row>
    <row r="3163" spans="1:21" ht="16.5" customHeight="1">
      <c r="A3163" s="159" t="s">
        <v>285</v>
      </c>
      <c r="B3163" s="114" t="str">
        <f>VLOOKUP(A3163,'Data pick slip'!B:F,5,FALSE)</f>
        <v>KHJ-MC100-00</v>
      </c>
      <c r="F3163" s="157" t="s">
        <v>270</v>
      </c>
      <c r="H3163" s="138">
        <v>1188</v>
      </c>
      <c r="I3163" s="139" t="e">
        <f>VLOOKUP(H3163,Stock_list!A:R,18,FALSE)</f>
        <v>#N/A</v>
      </c>
      <c r="J3163" s="139" t="e">
        <f>VLOOKUP(H3163,Stock_list!A:S,17,FALSE)</f>
        <v>#N/A</v>
      </c>
      <c r="K3163" s="51" t="e">
        <f>VLOOKUP(H3163,Stock_list!A:T,16,FALSE)</f>
        <v>#N/A</v>
      </c>
      <c r="L3163" s="4">
        <v>44376</v>
      </c>
      <c r="M3163" s="140">
        <v>150</v>
      </c>
      <c r="P3163" s="4" t="e">
        <f>VLOOKUP(H3163,Stock_list!A:Y,25,FALSE)</f>
        <v>#N/A</v>
      </c>
      <c r="Q3163" s="143"/>
      <c r="T3163" s="144"/>
      <c r="U3163" s="145" t="e">
        <f>VLOOKUP(H3163,Stock_list!A:N,14,FALSE)</f>
        <v>#N/A</v>
      </c>
    </row>
    <row r="3164" spans="1:21" ht="16.5" customHeight="1">
      <c r="A3164" s="159" t="s">
        <v>264</v>
      </c>
      <c r="B3164" s="114" t="str">
        <f>VLOOKUP(A3164,'Data pick slip'!B:F,5,FALSE)</f>
        <v>KHJ-MC200-00</v>
      </c>
      <c r="F3164" s="157" t="s">
        <v>270</v>
      </c>
      <c r="H3164" s="138">
        <v>1188</v>
      </c>
      <c r="I3164" s="139" t="e">
        <f>VLOOKUP(H3164,Stock_list!A:R,18,FALSE)</f>
        <v>#N/A</v>
      </c>
      <c r="J3164" s="139" t="e">
        <f>VLOOKUP(H3164,Stock_list!A:S,17,FALSE)</f>
        <v>#N/A</v>
      </c>
      <c r="K3164" s="51" t="e">
        <f>VLOOKUP(H3164,Stock_list!A:T,16,FALSE)</f>
        <v>#N/A</v>
      </c>
      <c r="L3164" s="4">
        <v>44376</v>
      </c>
      <c r="M3164" s="140">
        <v>8</v>
      </c>
      <c r="P3164" s="4" t="e">
        <f>VLOOKUP(H3164,Stock_list!A:Y,25,FALSE)</f>
        <v>#N/A</v>
      </c>
      <c r="Q3164" s="143"/>
      <c r="T3164" s="144"/>
      <c r="U3164" s="145" t="e">
        <f>VLOOKUP(H3164,Stock_list!A:N,14,FALSE)</f>
        <v>#N/A</v>
      </c>
    </row>
    <row r="3165" spans="1:21" ht="16.5" customHeight="1">
      <c r="A3165" s="159" t="s">
        <v>264</v>
      </c>
      <c r="B3165" s="114" t="str">
        <f>VLOOKUP(A3165,'Data pick slip'!B:F,5,FALSE)</f>
        <v>KHJ-MC200-00</v>
      </c>
      <c r="F3165" s="157" t="s">
        <v>227</v>
      </c>
      <c r="I3165" s="297" t="s">
        <v>986</v>
      </c>
      <c r="J3165" s="298" t="s">
        <v>987</v>
      </c>
      <c r="K3165" s="261" t="s">
        <v>225</v>
      </c>
      <c r="L3165" s="299">
        <v>44418</v>
      </c>
      <c r="M3165" s="300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272</v>
      </c>
      <c r="B3166" s="114" t="str">
        <f>VLOOKUP(A3166,'Data pick slip'!B:F,5,FALSE)</f>
        <v>KLJ-MC100-00</v>
      </c>
      <c r="F3166" s="157" t="s">
        <v>227</v>
      </c>
      <c r="I3166" s="269" t="s">
        <v>931</v>
      </c>
      <c r="J3166" s="139" t="s">
        <v>988</v>
      </c>
      <c r="K3166" s="51" t="s">
        <v>225</v>
      </c>
      <c r="L3166" s="4">
        <v>44413</v>
      </c>
      <c r="M3166" s="140">
        <v>80</v>
      </c>
      <c r="P3166" s="4" t="s">
        <v>214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273</v>
      </c>
      <c r="B3167" s="114" t="str">
        <f>VLOOKUP(A3167,'Data pick slip'!B:F,5,FALSE)</f>
        <v>KLJ-MC200-00</v>
      </c>
      <c r="F3167" s="157" t="s">
        <v>227</v>
      </c>
      <c r="I3167" s="269" t="s">
        <v>931</v>
      </c>
      <c r="J3167" s="139" t="s">
        <v>988</v>
      </c>
      <c r="K3167" s="51" t="s">
        <v>225</v>
      </c>
      <c r="L3167" s="4">
        <v>44413</v>
      </c>
      <c r="M3167" s="140">
        <v>15</v>
      </c>
      <c r="P3167" s="4" t="s">
        <v>214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274</v>
      </c>
      <c r="B3168" s="114" t="str">
        <f>VLOOKUP(A3168,'Data pick slip'!B:F,5,FALSE)</f>
        <v>KLJ-MC400-00</v>
      </c>
      <c r="F3168" s="157" t="s">
        <v>227</v>
      </c>
      <c r="I3168" s="269" t="s">
        <v>931</v>
      </c>
      <c r="J3168" s="139" t="s">
        <v>988</v>
      </c>
      <c r="K3168" s="51" t="s">
        <v>225</v>
      </c>
      <c r="L3168" s="4">
        <v>44413</v>
      </c>
      <c r="M3168" s="140">
        <v>5</v>
      </c>
      <c r="P3168" s="4" t="s">
        <v>214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</v>
      </c>
      <c r="B3169" s="114" t="str">
        <f>VLOOKUP(A3169,'Data pick slip'!B:F,5,FALSE)</f>
        <v>KLJ-MC500-00</v>
      </c>
      <c r="F3169" s="157" t="s">
        <v>227</v>
      </c>
      <c r="I3169" s="269" t="s">
        <v>931</v>
      </c>
      <c r="J3169" s="139" t="s">
        <v>988</v>
      </c>
      <c r="K3169" s="51" t="s">
        <v>225</v>
      </c>
      <c r="L3169" s="4">
        <v>44413</v>
      </c>
      <c r="M3169" s="140">
        <v>2</v>
      </c>
      <c r="P3169" s="4" t="s">
        <v>214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276</v>
      </c>
      <c r="B3170" s="114" t="str">
        <f>VLOOKUP(A3170,'Data pick slip'!B:F,5,FALSE)</f>
        <v>KLJ-MC600-00</v>
      </c>
      <c r="F3170" s="157" t="s">
        <v>227</v>
      </c>
      <c r="I3170" s="269" t="s">
        <v>931</v>
      </c>
      <c r="J3170" s="139" t="s">
        <v>988</v>
      </c>
      <c r="K3170" s="51" t="s">
        <v>225</v>
      </c>
      <c r="L3170" s="4">
        <v>44413</v>
      </c>
      <c r="M3170" s="140">
        <v>2</v>
      </c>
      <c r="P3170" s="4" t="s">
        <v>214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285</v>
      </c>
      <c r="B3171" s="114" t="str">
        <f>VLOOKUP(A3171,'Data pick slip'!B:F,5,FALSE)</f>
        <v>KHJ-MC100-00</v>
      </c>
      <c r="F3171" s="157" t="s">
        <v>227</v>
      </c>
      <c r="I3171" s="139" t="s">
        <v>371</v>
      </c>
      <c r="J3171" s="270" t="s">
        <v>989</v>
      </c>
      <c r="K3171" s="51" t="s">
        <v>520</v>
      </c>
      <c r="L3171" s="4">
        <v>44421</v>
      </c>
      <c r="M3171" s="140">
        <v>1</v>
      </c>
      <c r="P3171" s="4" t="s">
        <v>214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285</v>
      </c>
      <c r="B3172" s="114" t="str">
        <f>VLOOKUP(A3172,'Data pick slip'!B:F,5,FALSE)</f>
        <v>KHJ-MC100-00</v>
      </c>
      <c r="F3172" s="157" t="s">
        <v>270</v>
      </c>
      <c r="I3172" s="139" t="s">
        <v>611</v>
      </c>
      <c r="J3172" s="270" t="s">
        <v>990</v>
      </c>
      <c r="K3172" s="51" t="s">
        <v>225</v>
      </c>
      <c r="L3172" s="4">
        <v>44421</v>
      </c>
      <c r="M3172" s="140">
        <v>15</v>
      </c>
      <c r="P3172" s="4" t="s">
        <v>214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272</v>
      </c>
      <c r="B3173" s="114" t="str">
        <f>VLOOKUP(A3173,'Data pick slip'!B:F,5,FALSE)</f>
        <v>KLJ-MC100-00</v>
      </c>
      <c r="F3173" s="157" t="s">
        <v>270</v>
      </c>
      <c r="H3173" s="138">
        <v>1436</v>
      </c>
      <c r="I3173" s="139" t="e">
        <f>VLOOKUP(H3173,Stock_list!A:R,18,FALSE)</f>
        <v>#N/A</v>
      </c>
      <c r="J3173" s="139" t="e">
        <f>VLOOKUP(H3173,Stock_list!A:S,17,FALSE)</f>
        <v>#N/A</v>
      </c>
      <c r="K3173" s="51" t="e">
        <f>VLOOKUP(H3173,Stock_list!A:T,16,FALSE)</f>
        <v>#N/A</v>
      </c>
      <c r="L3173" s="4">
        <v>44434</v>
      </c>
      <c r="M3173" s="140">
        <v>84</v>
      </c>
      <c r="P3173" s="4" t="e">
        <f>VLOOKUP(H3173,Stock_list!A:Y,25,FALSE)</f>
        <v>#N/A</v>
      </c>
      <c r="Q3173" s="143"/>
      <c r="T3173" s="144"/>
      <c r="U3173" s="145" t="e">
        <f>VLOOKUP(H3173,Stock_list!A:N,14,FALSE)</f>
        <v>#N/A</v>
      </c>
    </row>
    <row r="3174" spans="1:21" ht="16.5" customHeight="1">
      <c r="A3174" s="159" t="s">
        <v>285</v>
      </c>
      <c r="B3174" s="114" t="str">
        <f>VLOOKUP(A3174,'Data pick slip'!B:F,5,FALSE)</f>
        <v>KHJ-MC100-00</v>
      </c>
      <c r="F3174" s="157" t="s">
        <v>227</v>
      </c>
      <c r="H3174" s="138">
        <v>1470</v>
      </c>
      <c r="I3174" s="139" t="e">
        <f>VLOOKUP(H3174,Stock_list!A:R,18,FALSE)</f>
        <v>#N/A</v>
      </c>
      <c r="J3174" s="139" t="e">
        <f>VLOOKUP(H3174,Stock_list!A:S,17,FALSE)</f>
        <v>#N/A</v>
      </c>
      <c r="K3174" s="51" t="e">
        <f>VLOOKUP(H3174,Stock_list!A:T,16,FALSE)</f>
        <v>#N/A</v>
      </c>
      <c r="L3174" s="4">
        <v>44659</v>
      </c>
      <c r="M3174" s="140">
        <v>40</v>
      </c>
      <c r="P3174" s="4" t="e">
        <f>VLOOKUP(H3174,Stock_list!A:Y,25,FALSE)</f>
        <v>#N/A</v>
      </c>
      <c r="Q3174" s="143"/>
      <c r="T3174" s="144"/>
      <c r="U3174" s="145" t="e">
        <f>VLOOKUP(H3174,Stock_list!A:N,14,FALSE)</f>
        <v>#N/A</v>
      </c>
    </row>
    <row r="3175" spans="1:21" ht="16.5" customHeight="1">
      <c r="A3175" s="159" t="s">
        <v>285</v>
      </c>
      <c r="B3175" s="114" t="str">
        <f>VLOOKUP(A3175,'Data pick slip'!B:F,5,FALSE)</f>
        <v>KHJ-MC100-00</v>
      </c>
      <c r="F3175" s="157" t="s">
        <v>227</v>
      </c>
      <c r="H3175" s="138">
        <v>1474</v>
      </c>
      <c r="I3175" s="139" t="e">
        <f>VLOOKUP(H3175,Stock_list!A:R,18,FALSE)</f>
        <v>#N/A</v>
      </c>
      <c r="J3175" s="139" t="e">
        <f>VLOOKUP(H3175,Stock_list!A:S,17,FALSE)</f>
        <v>#N/A</v>
      </c>
      <c r="K3175" s="51" t="e">
        <f>VLOOKUP(H3175,Stock_list!A:T,16,FALSE)</f>
        <v>#N/A</v>
      </c>
      <c r="L3175" s="4">
        <v>44620</v>
      </c>
      <c r="M3175" s="140">
        <v>5</v>
      </c>
      <c r="P3175" s="4" t="e">
        <f>VLOOKUP(H3175,Stock_list!A:Y,25,FALSE)</f>
        <v>#N/A</v>
      </c>
      <c r="Q3175" s="143"/>
      <c r="T3175" s="144"/>
      <c r="U3175" s="145" t="e">
        <f>VLOOKUP(H3175,Stock_list!A:N,14,FALSE)</f>
        <v>#N/A</v>
      </c>
    </row>
    <row r="3176" spans="1:21" ht="16.5" customHeight="1">
      <c r="A3176" s="159" t="s">
        <v>264</v>
      </c>
      <c r="B3176" s="114" t="str">
        <f>VLOOKUP(A3176,'Data pick slip'!B:F,5,FALSE)</f>
        <v>KHJ-MC200-00</v>
      </c>
      <c r="F3176" s="157" t="s">
        <v>270</v>
      </c>
      <c r="I3176" s="139" t="s">
        <v>808</v>
      </c>
      <c r="J3176" s="269" t="s">
        <v>991</v>
      </c>
      <c r="K3176" s="51" t="s">
        <v>225</v>
      </c>
      <c r="L3176" s="4">
        <v>44453</v>
      </c>
      <c r="M3176" s="140">
        <v>15</v>
      </c>
      <c r="P3176" s="4" t="s">
        <v>214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285</v>
      </c>
      <c r="B3177" s="114" t="str">
        <f>VLOOKUP(A3177,'Data pick slip'!B:F,5,FALSE)</f>
        <v>KHJ-MC100-00</v>
      </c>
      <c r="F3177" s="157" t="s">
        <v>227</v>
      </c>
      <c r="H3177" s="138">
        <v>1475</v>
      </c>
      <c r="I3177" s="139" t="e">
        <f>VLOOKUP(H3177,Stock_list!A:R,18,FALSE)</f>
        <v>#N/A</v>
      </c>
      <c r="J3177" s="139" t="e">
        <f>VLOOKUP(H3177,Stock_list!A:S,17,FALSE)</f>
        <v>#N/A</v>
      </c>
      <c r="K3177" s="51" t="e">
        <f>VLOOKUP(H3177,Stock_list!A:T,16,FALSE)</f>
        <v>#N/A</v>
      </c>
      <c r="L3177" s="4">
        <v>44580</v>
      </c>
      <c r="M3177" s="140">
        <v>20</v>
      </c>
      <c r="P3177" s="4" t="e">
        <f>VLOOKUP(H3177,Stock_list!A:Y,25,FALSE)</f>
        <v>#N/A</v>
      </c>
      <c r="Q3177" s="143"/>
      <c r="T3177" s="144"/>
      <c r="U3177" s="145" t="e">
        <f>VLOOKUP(H3177,Stock_list!A:N,14,FALSE)</f>
        <v>#N/A</v>
      </c>
    </row>
    <row r="3178" spans="1:21" ht="16.5" customHeight="1">
      <c r="A3178" s="159" t="s">
        <v>267</v>
      </c>
      <c r="B3178" s="114" t="str">
        <f>VLOOKUP(A3178,'Data pick slip'!B:F,5,FALSE)</f>
        <v>KHJ-MC600-00</v>
      </c>
      <c r="F3178" s="157" t="s">
        <v>227</v>
      </c>
      <c r="I3178" s="139" t="s">
        <v>371</v>
      </c>
      <c r="J3178" s="270" t="s">
        <v>992</v>
      </c>
      <c r="K3178" s="51" t="s">
        <v>520</v>
      </c>
      <c r="L3178" s="4">
        <v>44455</v>
      </c>
      <c r="M3178" s="140">
        <v>1</v>
      </c>
      <c r="P3178" s="4" t="s">
        <v>214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261</v>
      </c>
      <c r="B3179" s="114" t="str">
        <f>VLOOKUP(A3179,'Data pick slip'!B:F,5,FALSE)</f>
        <v>KHJ-MC100-00</v>
      </c>
      <c r="F3179" s="157" t="s">
        <v>227</v>
      </c>
      <c r="I3179" s="269" t="s">
        <v>931</v>
      </c>
      <c r="J3179" s="139" t="s">
        <v>993</v>
      </c>
      <c r="K3179" s="51" t="s">
        <v>225</v>
      </c>
      <c r="L3179" s="4">
        <v>44455</v>
      </c>
      <c r="M3179" s="140">
        <v>50</v>
      </c>
      <c r="P3179" s="4" t="s">
        <v>214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266</v>
      </c>
      <c r="B3180" s="114" t="str">
        <f>VLOOKUP(A3180,'Data pick slip'!B:F,5,FALSE)</f>
        <v>KHJ-MC500-00</v>
      </c>
      <c r="F3180" s="157" t="s">
        <v>227</v>
      </c>
      <c r="I3180" s="269" t="s">
        <v>931</v>
      </c>
      <c r="J3180" s="139" t="s">
        <v>993</v>
      </c>
      <c r="K3180" s="51" t="s">
        <v>225</v>
      </c>
      <c r="L3180" s="4">
        <v>44455</v>
      </c>
      <c r="M3180" s="140">
        <v>5</v>
      </c>
      <c r="P3180" s="4" t="s">
        <v>214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272</v>
      </c>
      <c r="B3181" s="114" t="str">
        <f>VLOOKUP(A3181,'Data pick slip'!B:F,5,FALSE)</f>
        <v>KLJ-MC100-00</v>
      </c>
      <c r="F3181" s="157" t="s">
        <v>227</v>
      </c>
      <c r="I3181" s="269" t="s">
        <v>931</v>
      </c>
      <c r="J3181" s="139" t="s">
        <v>993</v>
      </c>
      <c r="K3181" s="51" t="s">
        <v>225</v>
      </c>
      <c r="L3181" s="4">
        <v>44455</v>
      </c>
      <c r="M3181" s="140">
        <v>20</v>
      </c>
      <c r="P3181" s="4" t="s">
        <v>214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273</v>
      </c>
      <c r="B3182" s="114" t="str">
        <f>VLOOKUP(A3182,'Data pick slip'!B:F,5,FALSE)</f>
        <v>KLJ-MC200-00</v>
      </c>
      <c r="F3182" s="157" t="s">
        <v>227</v>
      </c>
      <c r="I3182" s="269" t="s">
        <v>931</v>
      </c>
      <c r="J3182" s="139" t="s">
        <v>993</v>
      </c>
      <c r="K3182" s="51" t="s">
        <v>225</v>
      </c>
      <c r="L3182" s="4">
        <v>44455</v>
      </c>
      <c r="M3182" s="140">
        <v>20</v>
      </c>
      <c r="P3182" s="4" t="s">
        <v>214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285</v>
      </c>
      <c r="B3183" s="114" t="str">
        <f>VLOOKUP(A3183,'Data pick slip'!B:F,5,FALSE)</f>
        <v>KHJ-MC100-00</v>
      </c>
      <c r="F3183" s="157" t="s">
        <v>227</v>
      </c>
      <c r="H3183" s="138">
        <v>1477</v>
      </c>
      <c r="I3183" s="139" t="e">
        <f>VLOOKUP(H3183,Stock_list!A:R,18,FALSE)</f>
        <v>#N/A</v>
      </c>
      <c r="J3183" s="139" t="e">
        <f>VLOOKUP(H3183,Stock_list!A:S,17,FALSE)</f>
        <v>#N/A</v>
      </c>
      <c r="K3183" s="51" t="e">
        <f>VLOOKUP(H3183,Stock_list!A:T,16,FALSE)</f>
        <v>#N/A</v>
      </c>
      <c r="L3183" s="4">
        <v>44669</v>
      </c>
      <c r="M3183" s="140">
        <v>100</v>
      </c>
      <c r="P3183" s="4" t="e">
        <f>VLOOKUP(H3183,Stock_list!A:Y,25,FALSE)</f>
        <v>#N/A</v>
      </c>
      <c r="Q3183" s="143"/>
      <c r="T3183" s="144"/>
      <c r="U3183" s="145" t="e">
        <f>VLOOKUP(H3183,Stock_list!A:N,14,FALSE)</f>
        <v>#N/A</v>
      </c>
    </row>
    <row r="3184" spans="1:21" ht="16.5" customHeight="1">
      <c r="A3184" s="159" t="s">
        <v>264</v>
      </c>
      <c r="B3184" s="114" t="str">
        <f>VLOOKUP(A3184,'Data pick slip'!B:F,5,FALSE)</f>
        <v>KHJ-MC200-00</v>
      </c>
      <c r="F3184" s="157" t="s">
        <v>227</v>
      </c>
      <c r="H3184" s="138">
        <v>1477</v>
      </c>
      <c r="I3184" s="139" t="e">
        <f>VLOOKUP(H3184,Stock_list!A:R,18,FALSE)</f>
        <v>#N/A</v>
      </c>
      <c r="J3184" s="139" t="e">
        <f>VLOOKUP(H3184,Stock_list!A:S,17,FALSE)</f>
        <v>#N/A</v>
      </c>
      <c r="K3184" s="51" t="e">
        <f>VLOOKUP(H3184,Stock_list!A:T,16,FALSE)</f>
        <v>#N/A</v>
      </c>
      <c r="L3184" s="4">
        <v>44669</v>
      </c>
      <c r="M3184" s="140">
        <v>28</v>
      </c>
      <c r="P3184" s="4" t="e">
        <f>VLOOKUP(H3184,Stock_list!A:Y,25,FALSE)</f>
        <v>#N/A</v>
      </c>
      <c r="Q3184" s="143"/>
      <c r="T3184" s="144"/>
      <c r="U3184" s="145" t="e">
        <f>VLOOKUP(H3184,Stock_list!A:N,14,FALSE)</f>
        <v>#N/A</v>
      </c>
    </row>
    <row r="3185" spans="1:21" ht="16.5" customHeight="1">
      <c r="A3185" s="159" t="s">
        <v>265</v>
      </c>
      <c r="B3185" s="114" t="str">
        <f>VLOOKUP(A3185,'Data pick slip'!B:F,5,FALSE)</f>
        <v>KHJ-MC400-00</v>
      </c>
      <c r="F3185" s="157" t="s">
        <v>227</v>
      </c>
      <c r="H3185" s="138">
        <v>1477</v>
      </c>
      <c r="I3185" s="139" t="e">
        <f>VLOOKUP(H3185,Stock_list!A:R,18,FALSE)</f>
        <v>#N/A</v>
      </c>
      <c r="J3185" s="139" t="e">
        <f>VLOOKUP(H3185,Stock_list!A:S,17,FALSE)</f>
        <v>#N/A</v>
      </c>
      <c r="K3185" s="51" t="e">
        <f>VLOOKUP(H3185,Stock_list!A:T,16,FALSE)</f>
        <v>#N/A</v>
      </c>
      <c r="L3185" s="4">
        <v>44669</v>
      </c>
      <c r="M3185" s="140">
        <v>2</v>
      </c>
      <c r="P3185" s="4" t="e">
        <f>VLOOKUP(H3185,Stock_list!A:Y,25,FALSE)</f>
        <v>#N/A</v>
      </c>
      <c r="Q3185" s="143"/>
      <c r="T3185" s="144"/>
      <c r="U3185" s="145" t="e">
        <f>VLOOKUP(H3185,Stock_list!A:N,14,FALSE)</f>
        <v>#N/A</v>
      </c>
    </row>
    <row r="3186" spans="1:21" ht="16.5" customHeight="1">
      <c r="A3186" s="159" t="s">
        <v>285</v>
      </c>
      <c r="B3186" s="114" t="str">
        <f>VLOOKUP(A3186,'Data pick slip'!B:F,5,FALSE)</f>
        <v>KHJ-MC100-00</v>
      </c>
      <c r="F3186" s="157" t="s">
        <v>270</v>
      </c>
      <c r="I3186" s="139" t="s">
        <v>617</v>
      </c>
      <c r="J3186" s="267" t="s">
        <v>994</v>
      </c>
      <c r="K3186" s="51" t="s">
        <v>225</v>
      </c>
      <c r="L3186" s="4">
        <v>44461</v>
      </c>
      <c r="M3186" s="140">
        <v>20</v>
      </c>
      <c r="P3186" s="4" t="s">
        <v>214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264</v>
      </c>
      <c r="B3187" s="114" t="str">
        <f>VLOOKUP(A3187,'Data pick slip'!B:F,5,FALSE)</f>
        <v>KHJ-MC200-00</v>
      </c>
      <c r="F3187" s="157" t="s">
        <v>270</v>
      </c>
      <c r="I3187" s="139" t="s">
        <v>617</v>
      </c>
      <c r="J3187" s="267" t="s">
        <v>994</v>
      </c>
      <c r="K3187" s="51" t="s">
        <v>225</v>
      </c>
      <c r="L3187" s="4">
        <v>44461</v>
      </c>
      <c r="M3187" s="140">
        <v>5</v>
      </c>
      <c r="P3187" s="4" t="s">
        <v>214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272</v>
      </c>
      <c r="B3188" s="114" t="str">
        <f>VLOOKUP(A3188,'Data pick slip'!B:F,5,FALSE)</f>
        <v>KLJ-MC100-00</v>
      </c>
      <c r="F3188" s="157" t="s">
        <v>227</v>
      </c>
      <c r="H3188" s="138">
        <v>1479</v>
      </c>
      <c r="I3188" s="139" t="e">
        <f>VLOOKUP(H3188,Stock_list!A:R,18,FALSE)</f>
        <v>#N/A</v>
      </c>
      <c r="J3188" s="139" t="e">
        <f>VLOOKUP(H3188,Stock_list!A:S,17,FALSE)</f>
        <v>#N/A</v>
      </c>
      <c r="K3188" s="51" t="e">
        <f>VLOOKUP(H3188,Stock_list!A:T,16,FALSE)</f>
        <v>#N/A</v>
      </c>
      <c r="L3188" s="4">
        <v>44481</v>
      </c>
      <c r="M3188" s="143">
        <v>20</v>
      </c>
      <c r="P3188" s="4" t="e">
        <f>VLOOKUP(H3188,Stock_list!A:Y,25,FALSE)</f>
        <v>#N/A</v>
      </c>
      <c r="T3188" s="144"/>
      <c r="U3188" s="145" t="e">
        <f>VLOOKUP(H3188,Stock_list!A:N,14,FALSE)</f>
        <v>#N/A</v>
      </c>
    </row>
    <row r="3189" spans="1:21" ht="16.5" customHeight="1">
      <c r="A3189" s="159" t="s">
        <v>273</v>
      </c>
      <c r="B3189" s="114" t="str">
        <f>VLOOKUP(A3189,'Data pick slip'!B:F,5,FALSE)</f>
        <v>KLJ-MC200-00</v>
      </c>
      <c r="F3189" s="157" t="s">
        <v>227</v>
      </c>
      <c r="H3189" s="138">
        <v>1479</v>
      </c>
      <c r="I3189" s="139" t="e">
        <f>VLOOKUP(H3189,Stock_list!A:R,18,FALSE)</f>
        <v>#N/A</v>
      </c>
      <c r="J3189" s="139" t="e">
        <f>VLOOKUP(H3189,Stock_list!A:S,17,FALSE)</f>
        <v>#N/A</v>
      </c>
      <c r="K3189" s="51" t="e">
        <f>VLOOKUP(H3189,Stock_list!A:T,16,FALSE)</f>
        <v>#N/A</v>
      </c>
      <c r="L3189" s="4">
        <v>44481</v>
      </c>
      <c r="M3189" s="143">
        <v>5</v>
      </c>
      <c r="P3189" s="4" t="e">
        <f>VLOOKUP(H3189,Stock_list!A:Y,25,FALSE)</f>
        <v>#N/A</v>
      </c>
      <c r="T3189" s="144"/>
      <c r="U3189" s="145" t="e">
        <f>VLOOKUP(H3189,Stock_list!A:N,14,FALSE)</f>
        <v>#N/A</v>
      </c>
    </row>
    <row r="3190" spans="1:21" ht="16.5" customHeight="1">
      <c r="A3190" s="159" t="s">
        <v>275</v>
      </c>
      <c r="B3190" s="114" t="str">
        <f>VLOOKUP(A3190,'Data pick slip'!B:F,5,FALSE)</f>
        <v>KLJ-MC500-00</v>
      </c>
      <c r="F3190" s="157" t="s">
        <v>227</v>
      </c>
      <c r="H3190" s="138">
        <v>1479</v>
      </c>
      <c r="I3190" s="139" t="e">
        <f>VLOOKUP(H3190,Stock_list!A:R,18,FALSE)</f>
        <v>#N/A</v>
      </c>
      <c r="J3190" s="139" t="e">
        <f>VLOOKUP(H3190,Stock_list!A:S,17,FALSE)</f>
        <v>#N/A</v>
      </c>
      <c r="K3190" s="51" t="e">
        <f>VLOOKUP(H3190,Stock_list!A:T,16,FALSE)</f>
        <v>#N/A</v>
      </c>
      <c r="L3190" s="4">
        <v>44481</v>
      </c>
      <c r="M3190" s="143">
        <v>1</v>
      </c>
      <c r="P3190" s="4" t="e">
        <f>VLOOKUP(H3190,Stock_list!A:Y,25,FALSE)</f>
        <v>#N/A</v>
      </c>
      <c r="T3190" s="144"/>
      <c r="U3190" s="145" t="e">
        <f>VLOOKUP(H3190,Stock_list!A:N,14,FALSE)</f>
        <v>#N/A</v>
      </c>
    </row>
    <row r="3191" spans="1:21" ht="16.5" customHeight="1">
      <c r="A3191" s="159" t="s">
        <v>285</v>
      </c>
      <c r="B3191" s="114" t="str">
        <f>VLOOKUP(A3191,'Data pick slip'!B:F,5,FALSE)</f>
        <v>KHJ-MC100-00</v>
      </c>
      <c r="F3191" s="157" t="s">
        <v>270</v>
      </c>
      <c r="I3191" s="139" t="s">
        <v>617</v>
      </c>
      <c r="J3191" s="267" t="s">
        <v>995</v>
      </c>
      <c r="K3191" s="51" t="s">
        <v>225</v>
      </c>
      <c r="L3191" s="4">
        <v>44461</v>
      </c>
      <c r="M3191" s="140">
        <v>30</v>
      </c>
      <c r="P3191" s="4" t="s">
        <v>214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285</v>
      </c>
      <c r="B3192" s="114" t="str">
        <f>VLOOKUP(A3192,'Data pick slip'!B:F,5,FALSE)</f>
        <v>KHJ-MC100-00</v>
      </c>
      <c r="F3192" s="157" t="s">
        <v>227</v>
      </c>
      <c r="H3192" s="138">
        <v>1480</v>
      </c>
      <c r="I3192" s="139" t="e">
        <f>VLOOKUP(H3192,Stock_list!A:R,18,FALSE)</f>
        <v>#N/A</v>
      </c>
      <c r="J3192" s="139" t="e">
        <f>VLOOKUP(H3192,Stock_list!A:S,17,FALSE)</f>
        <v>#N/A</v>
      </c>
      <c r="K3192" s="51" t="e">
        <f>VLOOKUP(H3192,Stock_list!A:T,16,FALSE)</f>
        <v>#N/A</v>
      </c>
      <c r="L3192" s="4"/>
      <c r="N3192" s="143">
        <v>60</v>
      </c>
      <c r="P3192" s="4" t="e">
        <f>VLOOKUP(H3192,Stock_list!A:Y,25,FALSE)</f>
        <v>#N/A</v>
      </c>
      <c r="T3192" s="144"/>
      <c r="U3192" s="145" t="e">
        <f>VLOOKUP(H3192,Stock_list!A:N,14,FALSE)</f>
        <v>#N/A</v>
      </c>
    </row>
    <row r="3193" spans="1:21" ht="16.5" customHeight="1">
      <c r="A3193" s="159" t="s">
        <v>264</v>
      </c>
      <c r="B3193" s="114" t="str">
        <f>VLOOKUP(A3193,'Data pick slip'!B:F,5,FALSE)</f>
        <v>KHJ-MC200-00</v>
      </c>
      <c r="F3193" s="157" t="s">
        <v>227</v>
      </c>
      <c r="H3193" s="138">
        <v>1480</v>
      </c>
      <c r="I3193" s="139" t="e">
        <f>VLOOKUP(H3193,Stock_list!A:R,18,FALSE)</f>
        <v>#N/A</v>
      </c>
      <c r="J3193" s="139" t="e">
        <f>VLOOKUP(H3193,Stock_list!A:S,17,FALSE)</f>
        <v>#N/A</v>
      </c>
      <c r="K3193" s="51" t="e">
        <f>VLOOKUP(H3193,Stock_list!A:T,16,FALSE)</f>
        <v>#N/A</v>
      </c>
      <c r="L3193" s="4"/>
      <c r="N3193" s="143">
        <v>11</v>
      </c>
      <c r="P3193" s="4" t="e">
        <f>VLOOKUP(H3193,Stock_list!A:Y,25,FALSE)</f>
        <v>#N/A</v>
      </c>
      <c r="T3193" s="144"/>
      <c r="U3193" s="145" t="e">
        <f>VLOOKUP(H3193,Stock_list!A:N,14,FALSE)</f>
        <v>#N/A</v>
      </c>
    </row>
    <row r="3194" spans="1:21" ht="16.5" customHeight="1">
      <c r="A3194" s="159" t="s">
        <v>265</v>
      </c>
      <c r="B3194" s="114" t="str">
        <f>VLOOKUP(A3194,'Data pick slip'!B:F,5,FALSE)</f>
        <v>KHJ-MC400-00</v>
      </c>
      <c r="F3194" s="157" t="s">
        <v>227</v>
      </c>
      <c r="H3194" s="138">
        <v>1480</v>
      </c>
      <c r="I3194" s="139" t="e">
        <f>VLOOKUP(H3194,Stock_list!A:R,18,FALSE)</f>
        <v>#N/A</v>
      </c>
      <c r="J3194" s="139" t="e">
        <f>VLOOKUP(H3194,Stock_list!A:S,17,FALSE)</f>
        <v>#N/A</v>
      </c>
      <c r="K3194" s="51" t="e">
        <f>VLOOKUP(H3194,Stock_list!A:T,16,FALSE)</f>
        <v>#N/A</v>
      </c>
      <c r="L3194" s="4"/>
      <c r="N3194" s="143">
        <v>4</v>
      </c>
      <c r="P3194" s="4" t="e">
        <f>VLOOKUP(H3194,Stock_list!A:Y,25,FALSE)</f>
        <v>#N/A</v>
      </c>
      <c r="T3194" s="144"/>
      <c r="U3194" s="145" t="e">
        <f>VLOOKUP(H3194,Stock_list!A:N,14,FALSE)</f>
        <v>#N/A</v>
      </c>
    </row>
    <row r="3195" spans="1:21" ht="16.5" customHeight="1">
      <c r="A3195" s="159" t="s">
        <v>266</v>
      </c>
      <c r="B3195" s="114" t="str">
        <f>VLOOKUP(A3195,'Data pick slip'!B:F,5,FALSE)</f>
        <v>KHJ-MC500-00</v>
      </c>
      <c r="F3195" s="157" t="s">
        <v>227</v>
      </c>
      <c r="H3195" s="138">
        <v>1480</v>
      </c>
      <c r="I3195" s="139" t="e">
        <f>VLOOKUP(H3195,Stock_list!A:R,18,FALSE)</f>
        <v>#N/A</v>
      </c>
      <c r="J3195" s="139" t="e">
        <f>VLOOKUP(H3195,Stock_list!A:S,17,FALSE)</f>
        <v>#N/A</v>
      </c>
      <c r="K3195" s="51" t="e">
        <f>VLOOKUP(H3195,Stock_list!A:T,16,FALSE)</f>
        <v>#N/A</v>
      </c>
      <c r="L3195" s="4"/>
      <c r="N3195" s="143">
        <v>1</v>
      </c>
      <c r="P3195" s="4" t="e">
        <f>VLOOKUP(H3195,Stock_list!A:Y,25,FALSE)</f>
        <v>#N/A</v>
      </c>
      <c r="T3195" s="144"/>
      <c r="U3195" s="145" t="e">
        <f>VLOOKUP(H3195,Stock_list!A:N,14,FALSE)</f>
        <v>#N/A</v>
      </c>
    </row>
    <row r="3196" spans="1:21" ht="16.5" customHeight="1">
      <c r="A3196" s="159" t="s">
        <v>285</v>
      </c>
      <c r="B3196" s="114" t="str">
        <f>VLOOKUP(A3196,'Data pick slip'!B:F,5,FALSE)</f>
        <v>KHJ-MC100-00</v>
      </c>
      <c r="F3196" s="157" t="s">
        <v>270</v>
      </c>
      <c r="H3196" s="138">
        <v>1482</v>
      </c>
      <c r="I3196" s="139" t="e">
        <f>VLOOKUP(H3196,Stock_list!A:R,18,FALSE)</f>
        <v>#N/A</v>
      </c>
      <c r="J3196" s="139" t="e">
        <f>VLOOKUP(H3196,Stock_list!A:S,17,FALSE)</f>
        <v>#N/A</v>
      </c>
      <c r="K3196" s="51" t="e">
        <f>VLOOKUP(H3196,Stock_list!A:T,16,FALSE)</f>
        <v>#N/A</v>
      </c>
      <c r="L3196" s="4">
        <v>44608</v>
      </c>
      <c r="M3196" s="140">
        <v>8</v>
      </c>
      <c r="N3196" s="143"/>
      <c r="P3196" s="4" t="e">
        <f>VLOOKUP(H3196,Stock_list!A:Y,25,FALSE)</f>
        <v>#N/A</v>
      </c>
      <c r="T3196" s="144"/>
      <c r="U3196" s="145" t="e">
        <f>VLOOKUP(H3196,Stock_list!A:N,14,FALSE)</f>
        <v>#N/A</v>
      </c>
    </row>
    <row r="3197" spans="1:21" ht="16.5" customHeight="1">
      <c r="A3197" s="159" t="s">
        <v>267</v>
      </c>
      <c r="B3197" s="114" t="str">
        <f>VLOOKUP(A3197,'Data pick slip'!B:F,5,FALSE)</f>
        <v>KHJ-MC600-00</v>
      </c>
      <c r="F3197" s="157" t="s">
        <v>270</v>
      </c>
      <c r="H3197" s="138">
        <v>1482</v>
      </c>
      <c r="I3197" s="139" t="e">
        <f>VLOOKUP(H3197,Stock_list!A:R,18,FALSE)</f>
        <v>#N/A</v>
      </c>
      <c r="J3197" s="139" t="e">
        <f>VLOOKUP(H3197,Stock_list!A:S,17,FALSE)</f>
        <v>#N/A</v>
      </c>
      <c r="K3197" s="51" t="e">
        <f>VLOOKUP(H3197,Stock_list!A:T,16,FALSE)</f>
        <v>#N/A</v>
      </c>
      <c r="L3197" s="4">
        <v>44608</v>
      </c>
      <c r="M3197" s="140">
        <v>1</v>
      </c>
      <c r="N3197" s="143"/>
      <c r="P3197" s="4" t="e">
        <f>VLOOKUP(H3197,Stock_list!A:Y,25,FALSE)</f>
        <v>#N/A</v>
      </c>
      <c r="T3197" s="144"/>
      <c r="U3197" s="145" t="e">
        <f>VLOOKUP(H3197,Stock_list!A:N,14,FALSE)</f>
        <v>#N/A</v>
      </c>
    </row>
    <row r="3198" spans="1:21" ht="16.5" customHeight="1">
      <c r="A3198" s="159" t="s">
        <v>285</v>
      </c>
      <c r="B3198" s="114" t="str">
        <f>VLOOKUP(A3198,'Data pick slip'!B:F,5,FALSE)</f>
        <v>KHJ-MC100-00</v>
      </c>
      <c r="F3198" s="157" t="s">
        <v>270</v>
      </c>
      <c r="H3198" s="138">
        <v>1482</v>
      </c>
      <c r="I3198" s="139" t="e">
        <f>VLOOKUP(H3198,Stock_list!A:R,18,FALSE)</f>
        <v>#N/A</v>
      </c>
      <c r="J3198" s="139" t="e">
        <f>VLOOKUP(H3198,Stock_list!A:S,17,FALSE)</f>
        <v>#N/A</v>
      </c>
      <c r="K3198" s="51" t="e">
        <f>VLOOKUP(H3198,Stock_list!A:T,16,FALSE)</f>
        <v>#N/A</v>
      </c>
      <c r="L3198" s="4">
        <v>44477</v>
      </c>
      <c r="M3198" s="140">
        <v>10</v>
      </c>
      <c r="N3198" s="143"/>
      <c r="P3198" s="4" t="e">
        <f>VLOOKUP(H3198,Stock_list!A:Y,25,FALSE)</f>
        <v>#N/A</v>
      </c>
      <c r="T3198" s="144"/>
      <c r="U3198" s="145" t="e">
        <f>VLOOKUP(H3198,Stock_list!A:N,14,FALSE)</f>
        <v>#N/A</v>
      </c>
    </row>
    <row r="3199" spans="1:21" ht="16.5" customHeight="1">
      <c r="A3199" s="159" t="s">
        <v>264</v>
      </c>
      <c r="B3199" s="114" t="str">
        <f>VLOOKUP(A3199,'Data pick slip'!B:F,5,FALSE)</f>
        <v>KHJ-MC200-00</v>
      </c>
      <c r="F3199" s="157" t="s">
        <v>270</v>
      </c>
      <c r="H3199" s="138">
        <v>1482</v>
      </c>
      <c r="I3199" s="139" t="e">
        <f>VLOOKUP(H3199,Stock_list!A:R,18,FALSE)</f>
        <v>#N/A</v>
      </c>
      <c r="J3199" s="139" t="e">
        <f>VLOOKUP(H3199,Stock_list!A:S,17,FALSE)</f>
        <v>#N/A</v>
      </c>
      <c r="K3199" s="51" t="e">
        <f>VLOOKUP(H3199,Stock_list!A:T,16,FALSE)</f>
        <v>#N/A</v>
      </c>
      <c r="L3199" s="4">
        <v>44477</v>
      </c>
      <c r="M3199" s="140">
        <v>20</v>
      </c>
      <c r="N3199" s="143"/>
      <c r="P3199" s="4" t="e">
        <f>VLOOKUP(H3199,Stock_list!A:Y,25,FALSE)</f>
        <v>#N/A</v>
      </c>
      <c r="T3199" s="144"/>
      <c r="U3199" s="145" t="e">
        <f>VLOOKUP(H3199,Stock_list!A:N,14,FALSE)</f>
        <v>#N/A</v>
      </c>
    </row>
    <row r="3200" spans="1:21" ht="16.5" customHeight="1">
      <c r="A3200" s="159" t="s">
        <v>285</v>
      </c>
      <c r="B3200" s="114" t="str">
        <f>VLOOKUP(A3200,'Data pick slip'!B:F,5,FALSE)</f>
        <v>KHJ-MC100-00</v>
      </c>
      <c r="F3200" s="157" t="s">
        <v>227</v>
      </c>
      <c r="H3200" s="138">
        <v>1483</v>
      </c>
      <c r="I3200" s="139" t="e">
        <f>VLOOKUP(H3200,Stock_list!A:R,18,FALSE)</f>
        <v>#N/A</v>
      </c>
      <c r="J3200" s="139" t="e">
        <f>VLOOKUP(H3200,Stock_list!A:S,17,FALSE)</f>
        <v>#N/A</v>
      </c>
      <c r="K3200" s="51" t="e">
        <f>VLOOKUP(H3200,Stock_list!A:T,16,FALSE)</f>
        <v>#N/A</v>
      </c>
      <c r="L3200" s="4">
        <v>44732</v>
      </c>
      <c r="M3200" s="140">
        <v>5</v>
      </c>
      <c r="P3200" s="4" t="e">
        <f>VLOOKUP(H3200,Stock_list!A:Y,25,FALSE)</f>
        <v>#N/A</v>
      </c>
      <c r="Q3200" s="143"/>
      <c r="T3200" s="144"/>
      <c r="U3200" s="145" t="e">
        <f>VLOOKUP(H3200,Stock_list!A:N,14,FALSE)</f>
        <v>#N/A</v>
      </c>
    </row>
    <row r="3201" spans="1:21" ht="16.5" customHeight="1">
      <c r="A3201" s="159" t="s">
        <v>264</v>
      </c>
      <c r="B3201" s="114" t="str">
        <f>VLOOKUP(A3201,'Data pick slip'!B:F,5,FALSE)</f>
        <v>KHJ-MC200-00</v>
      </c>
      <c r="F3201" s="157" t="s">
        <v>227</v>
      </c>
      <c r="H3201" s="138">
        <v>1483</v>
      </c>
      <c r="I3201" s="139" t="e">
        <f>VLOOKUP(H3201,Stock_list!A:R,18,FALSE)</f>
        <v>#N/A</v>
      </c>
      <c r="J3201" s="139" t="e">
        <f>VLOOKUP(H3201,Stock_list!A:S,17,FALSE)</f>
        <v>#N/A</v>
      </c>
      <c r="K3201" s="51" t="e">
        <f>VLOOKUP(H3201,Stock_list!A:T,16,FALSE)</f>
        <v>#N/A</v>
      </c>
      <c r="L3201" s="4">
        <v>44732</v>
      </c>
      <c r="M3201" s="140">
        <v>2</v>
      </c>
      <c r="P3201" s="4" t="e">
        <f>VLOOKUP(H3201,Stock_list!A:Y,25,FALSE)</f>
        <v>#N/A</v>
      </c>
      <c r="Q3201" s="143"/>
      <c r="T3201" s="144"/>
      <c r="U3201" s="145" t="e">
        <f>VLOOKUP(H3201,Stock_list!A:N,14,FALSE)</f>
        <v>#N/A</v>
      </c>
    </row>
    <row r="3202" spans="1:21" ht="16.5" customHeight="1">
      <c r="A3202" s="159" t="s">
        <v>268</v>
      </c>
      <c r="B3202" s="114" t="str">
        <f>VLOOKUP(A3202,'Data pick slip'!B:F,5,FALSE)</f>
        <v>KHJ-MC700-00</v>
      </c>
      <c r="F3202" s="157" t="s">
        <v>270</v>
      </c>
      <c r="I3202" s="139" t="s">
        <v>611</v>
      </c>
      <c r="J3202" s="270" t="s">
        <v>996</v>
      </c>
      <c r="K3202" s="51" t="s">
        <v>225</v>
      </c>
      <c r="L3202" s="4">
        <v>44487</v>
      </c>
      <c r="M3202" s="140">
        <v>2</v>
      </c>
      <c r="P3202" s="4" t="s">
        <v>214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285</v>
      </c>
      <c r="B3203" s="114" t="str">
        <f>VLOOKUP(A3203,'Data pick slip'!B:F,5,FALSE)</f>
        <v>KHJ-MC100-00</v>
      </c>
      <c r="F3203" s="157" t="s">
        <v>270</v>
      </c>
      <c r="H3203" s="138">
        <v>1484</v>
      </c>
      <c r="I3203" s="139" t="e">
        <f>VLOOKUP(H3203,Stock_list!A:R,18,FALSE)</f>
        <v>#N/A</v>
      </c>
      <c r="J3203" s="139" t="e">
        <f>VLOOKUP(H3203,Stock_list!A:S,17,FALSE)</f>
        <v>#N/A</v>
      </c>
      <c r="K3203" s="51" t="e">
        <f>VLOOKUP(H3203,Stock_list!A:T,16,FALSE)</f>
        <v>#N/A</v>
      </c>
      <c r="L3203" s="4">
        <v>44629</v>
      </c>
      <c r="M3203" s="132">
        <v>10</v>
      </c>
      <c r="P3203" s="4" t="e">
        <f>VLOOKUP(H3203,Stock_list!A:Y,25,FALSE)</f>
        <v>#N/A</v>
      </c>
      <c r="Q3203" s="143"/>
      <c r="T3203" s="144"/>
      <c r="U3203" s="145" t="e">
        <f>VLOOKUP(H3203,Stock_list!A:N,14,FALSE)</f>
        <v>#N/A</v>
      </c>
    </row>
    <row r="3204" spans="1:21" ht="16.5" customHeight="1">
      <c r="A3204" s="159" t="s">
        <v>264</v>
      </c>
      <c r="B3204" s="114" t="str">
        <f>VLOOKUP(A3204,'Data pick slip'!B:F,5,FALSE)</f>
        <v>KHJ-MC200-00</v>
      </c>
      <c r="F3204" s="157" t="s">
        <v>270</v>
      </c>
      <c r="H3204" s="138">
        <v>1484</v>
      </c>
      <c r="I3204" s="139" t="e">
        <f>VLOOKUP(H3204,Stock_list!A:R,18,FALSE)</f>
        <v>#N/A</v>
      </c>
      <c r="J3204" s="139" t="e">
        <f>VLOOKUP(H3204,Stock_list!A:S,17,FALSE)</f>
        <v>#N/A</v>
      </c>
      <c r="K3204" s="51" t="e">
        <f>VLOOKUP(H3204,Stock_list!A:T,16,FALSE)</f>
        <v>#N/A</v>
      </c>
      <c r="L3204" s="4">
        <v>44629</v>
      </c>
      <c r="M3204" s="132">
        <v>3</v>
      </c>
      <c r="P3204" s="4" t="e">
        <f>VLOOKUP(H3204,Stock_list!A:Y,25,FALSE)</f>
        <v>#N/A</v>
      </c>
      <c r="Q3204" s="143"/>
      <c r="T3204" s="144"/>
      <c r="U3204" s="145" t="e">
        <f>VLOOKUP(H3204,Stock_list!A:N,14,FALSE)</f>
        <v>#N/A</v>
      </c>
    </row>
    <row r="3205" spans="1:21" ht="16.5" customHeight="1">
      <c r="A3205" s="159" t="s">
        <v>265</v>
      </c>
      <c r="B3205" s="114" t="str">
        <f>VLOOKUP(A3205,'Data pick slip'!B:F,5,FALSE)</f>
        <v>KHJ-MC400-00</v>
      </c>
      <c r="F3205" s="157" t="s">
        <v>270</v>
      </c>
      <c r="H3205" s="138">
        <v>1484</v>
      </c>
      <c r="I3205" s="139" t="e">
        <f>VLOOKUP(H3205,Stock_list!A:R,18,FALSE)</f>
        <v>#N/A</v>
      </c>
      <c r="J3205" s="139" t="e">
        <f>VLOOKUP(H3205,Stock_list!A:S,17,FALSE)</f>
        <v>#N/A</v>
      </c>
      <c r="K3205" s="51" t="e">
        <f>VLOOKUP(H3205,Stock_list!A:T,16,FALSE)</f>
        <v>#N/A</v>
      </c>
      <c r="L3205" s="4">
        <v>44629</v>
      </c>
      <c r="M3205" s="132">
        <v>1</v>
      </c>
      <c r="P3205" s="4" t="e">
        <f>VLOOKUP(H3205,Stock_list!A:Y,25,FALSE)</f>
        <v>#N/A</v>
      </c>
      <c r="Q3205" s="143"/>
      <c r="T3205" s="144"/>
      <c r="U3205" s="145" t="e">
        <f>VLOOKUP(H3205,Stock_list!A:N,14,FALSE)</f>
        <v>#N/A</v>
      </c>
    </row>
    <row r="3206" spans="1:21" ht="16.5" customHeight="1">
      <c r="A3206" s="159" t="s">
        <v>266</v>
      </c>
      <c r="B3206" s="114" t="str">
        <f>VLOOKUP(A3206,'Data pick slip'!B:F,5,FALSE)</f>
        <v>KHJ-MC500-00</v>
      </c>
      <c r="F3206" s="157" t="s">
        <v>270</v>
      </c>
      <c r="H3206" s="138">
        <v>1484</v>
      </c>
      <c r="I3206" s="139" t="e">
        <f>VLOOKUP(H3206,Stock_list!A:R,18,FALSE)</f>
        <v>#N/A</v>
      </c>
      <c r="J3206" s="139" t="e">
        <f>VLOOKUP(H3206,Stock_list!A:S,17,FALSE)</f>
        <v>#N/A</v>
      </c>
      <c r="K3206" s="51" t="e">
        <f>VLOOKUP(H3206,Stock_list!A:T,16,FALSE)</f>
        <v>#N/A</v>
      </c>
      <c r="L3206" s="4">
        <v>44629</v>
      </c>
      <c r="M3206" s="132">
        <v>1</v>
      </c>
      <c r="P3206" s="4" t="e">
        <f>VLOOKUP(H3206,Stock_list!A:Y,25,FALSE)</f>
        <v>#N/A</v>
      </c>
      <c r="Q3206" s="143"/>
      <c r="T3206" s="144"/>
      <c r="U3206" s="145" t="e">
        <f>VLOOKUP(H3206,Stock_list!A:N,14,FALSE)</f>
        <v>#N/A</v>
      </c>
    </row>
    <row r="3207" spans="1:21" ht="16.5" customHeight="1">
      <c r="A3207" s="159" t="s">
        <v>285</v>
      </c>
      <c r="B3207" s="114" t="str">
        <f>VLOOKUP(A3207,'Data pick slip'!B:F,5,FALSE)</f>
        <v>KHJ-MC100-00</v>
      </c>
      <c r="F3207" s="157" t="s">
        <v>227</v>
      </c>
      <c r="H3207" s="138">
        <v>1485</v>
      </c>
      <c r="I3207" s="139" t="e">
        <f>VLOOKUP(H3207,Stock_list!A:R,18,FALSE)</f>
        <v>#N/A</v>
      </c>
      <c r="J3207" s="139" t="e">
        <f>VLOOKUP(H3207,Stock_list!A:S,17,FALSE)</f>
        <v>#N/A</v>
      </c>
      <c r="K3207" s="51" t="e">
        <f>VLOOKUP(H3207,Stock_list!A:T,16,FALSE)</f>
        <v>#N/A</v>
      </c>
      <c r="L3207" s="4">
        <v>44501</v>
      </c>
      <c r="M3207" s="143">
        <v>24</v>
      </c>
      <c r="P3207" s="4" t="e">
        <f>VLOOKUP(H3207,Stock_list!A:Y,25,FALSE)</f>
        <v>#N/A</v>
      </c>
      <c r="Q3207" s="143"/>
      <c r="T3207" s="144"/>
      <c r="U3207" s="145" t="e">
        <f>VLOOKUP(H3207,Stock_list!A:N,14,FALSE)</f>
        <v>#N/A</v>
      </c>
    </row>
    <row r="3208" spans="1:21" ht="16.5" customHeight="1">
      <c r="A3208" s="159" t="s">
        <v>264</v>
      </c>
      <c r="B3208" s="114" t="str">
        <f>VLOOKUP(A3208,'Data pick slip'!B:F,5,FALSE)</f>
        <v>KHJ-MC200-00</v>
      </c>
      <c r="F3208" s="157" t="s">
        <v>227</v>
      </c>
      <c r="H3208" s="138">
        <v>1485</v>
      </c>
      <c r="I3208" s="139" t="e">
        <f>VLOOKUP(H3208,Stock_list!A:R,18,FALSE)</f>
        <v>#N/A</v>
      </c>
      <c r="J3208" s="139" t="e">
        <f>VLOOKUP(H3208,Stock_list!A:S,17,FALSE)</f>
        <v>#N/A</v>
      </c>
      <c r="K3208" s="51" t="e">
        <f>VLOOKUP(H3208,Stock_list!A:T,16,FALSE)</f>
        <v>#N/A</v>
      </c>
      <c r="L3208" s="4">
        <v>44501</v>
      </c>
      <c r="M3208" s="143">
        <v>10</v>
      </c>
      <c r="P3208" s="4" t="e">
        <f>VLOOKUP(H3208,Stock_list!A:Y,25,FALSE)</f>
        <v>#N/A</v>
      </c>
      <c r="Q3208" s="143"/>
      <c r="T3208" s="144"/>
      <c r="U3208" s="145" t="e">
        <f>VLOOKUP(H3208,Stock_list!A:N,14,FALSE)</f>
        <v>#N/A</v>
      </c>
    </row>
    <row r="3209" spans="1:21" ht="16.5" customHeight="1">
      <c r="A3209" s="159" t="s">
        <v>285</v>
      </c>
      <c r="B3209" s="114" t="str">
        <f>VLOOKUP(A3209,'Data pick slip'!B:F,5,FALSE)</f>
        <v>KHJ-MC100-00</v>
      </c>
      <c r="F3209" s="157" t="s">
        <v>227</v>
      </c>
      <c r="H3209" s="138">
        <v>1486</v>
      </c>
      <c r="I3209" s="139" t="e">
        <f>VLOOKUP(H3209,Stock_list!A:R,18,FALSE)</f>
        <v>#N/A</v>
      </c>
      <c r="J3209" s="139" t="e">
        <f>VLOOKUP(H3209,Stock_list!A:S,17,FALSE)</f>
        <v>#N/A</v>
      </c>
      <c r="K3209" s="51" t="e">
        <f>VLOOKUP(H3209,Stock_list!A:T,16,FALSE)</f>
        <v>#N/A</v>
      </c>
      <c r="L3209" s="4">
        <v>44670</v>
      </c>
      <c r="M3209" s="140">
        <v>40</v>
      </c>
      <c r="P3209" s="4" t="e">
        <f>VLOOKUP(H3209,Stock_list!A:Y,25,FALSE)</f>
        <v>#N/A</v>
      </c>
      <c r="Q3209" s="143"/>
      <c r="T3209" s="144"/>
      <c r="U3209" s="145" t="e">
        <f>VLOOKUP(H3209,Stock_list!A:N,14,FALSE)</f>
        <v>#N/A</v>
      </c>
    </row>
    <row r="3210" spans="1:21" ht="16.5" customHeight="1">
      <c r="A3210" s="159" t="s">
        <v>285</v>
      </c>
      <c r="B3210" s="114" t="str">
        <f>VLOOKUP(A3210,'Data pick slip'!B:F,5,FALSE)</f>
        <v>KHJ-MC100-00</v>
      </c>
      <c r="F3210" s="157" t="s">
        <v>227</v>
      </c>
      <c r="H3210" s="138">
        <v>1487</v>
      </c>
      <c r="I3210" s="139" t="e">
        <f>VLOOKUP(H3210,Stock_list!A:R,18,FALSE)</f>
        <v>#N/A</v>
      </c>
      <c r="J3210" s="139" t="e">
        <f>VLOOKUP(H3210,Stock_list!A:S,17,FALSE)</f>
        <v>#N/A</v>
      </c>
      <c r="K3210" s="51" t="e">
        <f>VLOOKUP(H3210,Stock_list!A:T,16,FALSE)</f>
        <v>#N/A</v>
      </c>
      <c r="L3210" s="4">
        <v>44663</v>
      </c>
      <c r="M3210" s="140">
        <v>166</v>
      </c>
      <c r="P3210" s="4" t="e">
        <f>VLOOKUP(H3210,Stock_list!A:Y,25,FALSE)</f>
        <v>#N/A</v>
      </c>
      <c r="Q3210" s="143"/>
      <c r="T3210" s="144"/>
      <c r="U3210" s="145" t="e">
        <f>VLOOKUP(H3210,Stock_list!A:N,14,FALSE)</f>
        <v>#N/A</v>
      </c>
    </row>
    <row r="3211" spans="1:21" ht="16.5" customHeight="1">
      <c r="A3211" s="159" t="s">
        <v>264</v>
      </c>
      <c r="B3211" s="114" t="str">
        <f>VLOOKUP(A3211,'Data pick slip'!B:F,5,FALSE)</f>
        <v>KHJ-MC200-00</v>
      </c>
      <c r="F3211" s="157" t="s">
        <v>227</v>
      </c>
      <c r="H3211" s="138">
        <v>1487</v>
      </c>
      <c r="I3211" s="139" t="e">
        <f>VLOOKUP(H3211,Stock_list!A:R,18,FALSE)</f>
        <v>#N/A</v>
      </c>
      <c r="J3211" s="139" t="e">
        <f>VLOOKUP(H3211,Stock_list!A:S,17,FALSE)</f>
        <v>#N/A</v>
      </c>
      <c r="K3211" s="51" t="e">
        <f>VLOOKUP(H3211,Stock_list!A:T,16,FALSE)</f>
        <v>#N/A</v>
      </c>
      <c r="L3211" s="4">
        <v>44663</v>
      </c>
      <c r="M3211" s="140">
        <v>27</v>
      </c>
      <c r="P3211" s="4" t="e">
        <f>VLOOKUP(H3211,Stock_list!A:Y,25,FALSE)</f>
        <v>#N/A</v>
      </c>
      <c r="Q3211" s="143"/>
      <c r="T3211" s="144"/>
      <c r="U3211" s="145" t="e">
        <f>VLOOKUP(H3211,Stock_list!A:N,14,FALSE)</f>
        <v>#N/A</v>
      </c>
    </row>
    <row r="3212" spans="1:21" ht="16.5" customHeight="1">
      <c r="A3212" s="159" t="s">
        <v>265</v>
      </c>
      <c r="B3212" s="114" t="str">
        <f>VLOOKUP(A3212,'Data pick slip'!B:F,5,FALSE)</f>
        <v>KHJ-MC400-00</v>
      </c>
      <c r="F3212" s="157" t="s">
        <v>227</v>
      </c>
      <c r="H3212" s="138">
        <v>1487</v>
      </c>
      <c r="I3212" s="139" t="e">
        <f>VLOOKUP(H3212,Stock_list!A:R,18,FALSE)</f>
        <v>#N/A</v>
      </c>
      <c r="J3212" s="139" t="e">
        <f>VLOOKUP(H3212,Stock_list!A:S,17,FALSE)</f>
        <v>#N/A</v>
      </c>
      <c r="K3212" s="51" t="e">
        <f>VLOOKUP(H3212,Stock_list!A:T,16,FALSE)</f>
        <v>#N/A</v>
      </c>
      <c r="L3212" s="4">
        <v>44663</v>
      </c>
      <c r="M3212" s="140">
        <v>4</v>
      </c>
      <c r="P3212" s="4" t="e">
        <f>VLOOKUP(H3212,Stock_list!A:Y,25,FALSE)</f>
        <v>#N/A</v>
      </c>
      <c r="Q3212" s="143"/>
      <c r="T3212" s="144"/>
      <c r="U3212" s="145" t="e">
        <f>VLOOKUP(H3212,Stock_list!A:N,14,FALSE)</f>
        <v>#N/A</v>
      </c>
    </row>
    <row r="3213" spans="1:21" ht="16.5" customHeight="1">
      <c r="A3213" s="159" t="s">
        <v>266</v>
      </c>
      <c r="B3213" s="114" t="str">
        <f>VLOOKUP(A3213,'Data pick slip'!B:F,5,FALSE)</f>
        <v>KHJ-MC500-00</v>
      </c>
      <c r="F3213" s="157" t="s">
        <v>227</v>
      </c>
      <c r="H3213" s="138">
        <v>1487</v>
      </c>
      <c r="I3213" s="139" t="e">
        <f>VLOOKUP(H3213,Stock_list!A:R,18,FALSE)</f>
        <v>#N/A</v>
      </c>
      <c r="J3213" s="139" t="e">
        <f>VLOOKUP(H3213,Stock_list!A:S,17,FALSE)</f>
        <v>#N/A</v>
      </c>
      <c r="K3213" s="51" t="e">
        <f>VLOOKUP(H3213,Stock_list!A:T,16,FALSE)</f>
        <v>#N/A</v>
      </c>
      <c r="L3213" s="4">
        <v>44663</v>
      </c>
      <c r="M3213" s="140">
        <v>2</v>
      </c>
      <c r="P3213" s="4" t="e">
        <f>VLOOKUP(H3213,Stock_list!A:Y,25,FALSE)</f>
        <v>#N/A</v>
      </c>
      <c r="Q3213" s="143"/>
      <c r="T3213" s="144"/>
      <c r="U3213" s="145" t="e">
        <f>VLOOKUP(H3213,Stock_list!A:N,14,FALSE)</f>
        <v>#N/A</v>
      </c>
    </row>
    <row r="3214" spans="1:21" ht="16.5" customHeight="1">
      <c r="A3214" s="159" t="s">
        <v>267</v>
      </c>
      <c r="B3214" s="114" t="str">
        <f>VLOOKUP(A3214,'Data pick slip'!B:F,5,FALSE)</f>
        <v>KHJ-MC600-00</v>
      </c>
      <c r="F3214" s="157" t="s">
        <v>227</v>
      </c>
      <c r="H3214" s="138">
        <v>1487</v>
      </c>
      <c r="I3214" s="139" t="e">
        <f>VLOOKUP(H3214,Stock_list!A:R,18,FALSE)</f>
        <v>#N/A</v>
      </c>
      <c r="J3214" s="139" t="e">
        <f>VLOOKUP(H3214,Stock_list!A:S,17,FALSE)</f>
        <v>#N/A</v>
      </c>
      <c r="K3214" s="51" t="e">
        <f>VLOOKUP(H3214,Stock_list!A:T,16,FALSE)</f>
        <v>#N/A</v>
      </c>
      <c r="L3214" s="4">
        <v>44663</v>
      </c>
      <c r="M3214" s="140">
        <v>1</v>
      </c>
      <c r="P3214" s="4" t="e">
        <f>VLOOKUP(H3214,Stock_list!A:Y,25,FALSE)</f>
        <v>#N/A</v>
      </c>
      <c r="Q3214" s="143"/>
      <c r="T3214" s="144"/>
      <c r="U3214" s="145" t="e">
        <f>VLOOKUP(H3214,Stock_list!A:N,14,FALSE)</f>
        <v>#N/A</v>
      </c>
    </row>
    <row r="3215" spans="1:21" ht="16.5" customHeight="1">
      <c r="A3215" s="159" t="s">
        <v>285</v>
      </c>
      <c r="B3215" s="114" t="str">
        <f>VLOOKUP(A3215,'Data pick slip'!B:F,5,FALSE)</f>
        <v>KHJ-MC100-00</v>
      </c>
      <c r="F3215" s="157" t="s">
        <v>227</v>
      </c>
      <c r="H3215" s="138">
        <v>1487</v>
      </c>
      <c r="I3215" s="139" t="e">
        <f>VLOOKUP(H3215,Stock_list!A:R,18,FALSE)</f>
        <v>#N/A</v>
      </c>
      <c r="J3215" s="139" t="e">
        <f>VLOOKUP(H3215,Stock_list!A:S,17,FALSE)</f>
        <v>#N/A</v>
      </c>
      <c r="K3215" s="51" t="e">
        <f>VLOOKUP(H3215,Stock_list!A:T,16,FALSE)</f>
        <v>#N/A</v>
      </c>
      <c r="L3215" s="4">
        <v>44642</v>
      </c>
      <c r="M3215" s="140">
        <v>97</v>
      </c>
      <c r="P3215" s="4" t="e">
        <f>VLOOKUP(H3215,Stock_list!A:Y,25,FALSE)</f>
        <v>#N/A</v>
      </c>
      <c r="Q3215" s="143"/>
      <c r="T3215" s="144"/>
      <c r="U3215" s="145" t="e">
        <f>VLOOKUP(H3215,Stock_list!A:N,14,FALSE)</f>
        <v>#N/A</v>
      </c>
    </row>
    <row r="3216" spans="1:21" ht="16.5" customHeight="1">
      <c r="A3216" s="159" t="s">
        <v>264</v>
      </c>
      <c r="B3216" s="114" t="str">
        <f>VLOOKUP(A3216,'Data pick slip'!B:F,5,FALSE)</f>
        <v>KHJ-MC200-00</v>
      </c>
      <c r="F3216" s="157" t="s">
        <v>227</v>
      </c>
      <c r="H3216" s="138">
        <v>1487</v>
      </c>
      <c r="I3216" s="139" t="e">
        <f>VLOOKUP(H3216,Stock_list!A:R,18,FALSE)</f>
        <v>#N/A</v>
      </c>
      <c r="J3216" s="139" t="e">
        <f>VLOOKUP(H3216,Stock_list!A:S,17,FALSE)</f>
        <v>#N/A</v>
      </c>
      <c r="K3216" s="51" t="e">
        <f>VLOOKUP(H3216,Stock_list!A:T,16,FALSE)</f>
        <v>#N/A</v>
      </c>
      <c r="L3216" s="4">
        <v>44642</v>
      </c>
      <c r="M3216" s="140">
        <v>8</v>
      </c>
      <c r="P3216" s="4" t="e">
        <f>VLOOKUP(H3216,Stock_list!A:Y,25,FALSE)</f>
        <v>#N/A</v>
      </c>
      <c r="Q3216" s="143"/>
      <c r="T3216" s="144"/>
      <c r="U3216" s="145" t="e">
        <f>VLOOKUP(H3216,Stock_list!A:N,14,FALSE)</f>
        <v>#N/A</v>
      </c>
    </row>
    <row r="3217" spans="1:21" ht="16.5" customHeight="1">
      <c r="A3217" s="159" t="s">
        <v>265</v>
      </c>
      <c r="B3217" s="114" t="str">
        <f>VLOOKUP(A3217,'Data pick slip'!B:F,5,FALSE)</f>
        <v>KHJ-MC400-00</v>
      </c>
      <c r="F3217" s="157" t="s">
        <v>227</v>
      </c>
      <c r="H3217" s="138">
        <v>1487</v>
      </c>
      <c r="I3217" s="139" t="e">
        <f>VLOOKUP(H3217,Stock_list!A:R,18,FALSE)</f>
        <v>#N/A</v>
      </c>
      <c r="J3217" s="139" t="e">
        <f>VLOOKUP(H3217,Stock_list!A:S,17,FALSE)</f>
        <v>#N/A</v>
      </c>
      <c r="K3217" s="51" t="e">
        <f>VLOOKUP(H3217,Stock_list!A:T,16,FALSE)</f>
        <v>#N/A</v>
      </c>
      <c r="L3217" s="4">
        <v>44642</v>
      </c>
      <c r="M3217" s="140">
        <v>2</v>
      </c>
      <c r="P3217" s="4" t="e">
        <f>VLOOKUP(H3217,Stock_list!A:Y,25,FALSE)</f>
        <v>#N/A</v>
      </c>
      <c r="Q3217" s="143"/>
      <c r="T3217" s="144"/>
      <c r="U3217" s="145" t="e">
        <f>VLOOKUP(H3217,Stock_list!A:N,14,FALSE)</f>
        <v>#N/A</v>
      </c>
    </row>
    <row r="3218" spans="1:21" ht="16.5" customHeight="1">
      <c r="A3218" s="159" t="s">
        <v>285</v>
      </c>
      <c r="B3218" s="114" t="str">
        <f>VLOOKUP(A3218,'Data pick slip'!B:F,5,FALSE)</f>
        <v>KHJ-MC100-00</v>
      </c>
      <c r="F3218" s="157" t="s">
        <v>227</v>
      </c>
      <c r="H3218" s="138">
        <v>1455</v>
      </c>
      <c r="I3218" s="139" t="e">
        <f>VLOOKUP(H3218,Stock_list!A:R,18,FALSE)</f>
        <v>#N/A</v>
      </c>
      <c r="J3218" s="139" t="e">
        <f>VLOOKUP(H3218,Stock_list!A:S,17,FALSE)</f>
        <v>#N/A</v>
      </c>
      <c r="K3218" s="51" t="e">
        <f>VLOOKUP(H3218,Stock_list!A:T,16,FALSE)</f>
        <v>#N/A</v>
      </c>
      <c r="L3218" s="4">
        <v>44498</v>
      </c>
      <c r="M3218" s="140">
        <v>60</v>
      </c>
      <c r="P3218" s="4" t="e">
        <f>VLOOKUP(H3218,Stock_list!A:Y,25,FALSE)</f>
        <v>#N/A</v>
      </c>
      <c r="Q3218" s="143"/>
      <c r="T3218" s="144"/>
      <c r="U3218" s="145" t="e">
        <f>VLOOKUP(H3218,Stock_list!A:N,14,FALSE)</f>
        <v>#N/A</v>
      </c>
    </row>
    <row r="3219" spans="1:21" ht="16.5" customHeight="1">
      <c r="A3219" s="159" t="s">
        <v>264</v>
      </c>
      <c r="B3219" s="114" t="str">
        <f>VLOOKUP(A3219,'Data pick slip'!B:F,5,FALSE)</f>
        <v>KHJ-MC200-00</v>
      </c>
      <c r="F3219" s="157" t="s">
        <v>227</v>
      </c>
      <c r="H3219" s="138">
        <v>1455</v>
      </c>
      <c r="I3219" s="139" t="e">
        <f>VLOOKUP(H3219,Stock_list!A:R,18,FALSE)</f>
        <v>#N/A</v>
      </c>
      <c r="J3219" s="139" t="e">
        <f>VLOOKUP(H3219,Stock_list!A:S,17,FALSE)</f>
        <v>#N/A</v>
      </c>
      <c r="K3219" s="51" t="e">
        <f>VLOOKUP(H3219,Stock_list!A:T,16,FALSE)</f>
        <v>#N/A</v>
      </c>
      <c r="L3219" s="4">
        <v>44498</v>
      </c>
      <c r="M3219" s="140">
        <v>10</v>
      </c>
      <c r="P3219" s="4" t="e">
        <f>VLOOKUP(H3219,Stock_list!A:Y,25,FALSE)</f>
        <v>#N/A</v>
      </c>
      <c r="Q3219" s="143"/>
      <c r="T3219" s="144"/>
      <c r="U3219" s="145" t="e">
        <f>VLOOKUP(H3219,Stock_list!A:N,14,FALSE)</f>
        <v>#N/A</v>
      </c>
    </row>
    <row r="3220" spans="1:21" ht="16.5" customHeight="1">
      <c r="A3220" s="159" t="s">
        <v>265</v>
      </c>
      <c r="B3220" s="114" t="str">
        <f>VLOOKUP(A3220,'Data pick slip'!B:F,5,FALSE)</f>
        <v>KHJ-MC400-00</v>
      </c>
      <c r="F3220" s="157" t="s">
        <v>227</v>
      </c>
      <c r="H3220" s="138">
        <v>1455</v>
      </c>
      <c r="I3220" s="139" t="e">
        <f>VLOOKUP(H3220,Stock_list!A:R,18,FALSE)</f>
        <v>#N/A</v>
      </c>
      <c r="J3220" s="139" t="e">
        <f>VLOOKUP(H3220,Stock_list!A:S,17,FALSE)</f>
        <v>#N/A</v>
      </c>
      <c r="K3220" s="51" t="e">
        <f>VLOOKUP(H3220,Stock_list!A:T,16,FALSE)</f>
        <v>#N/A</v>
      </c>
      <c r="L3220" s="4">
        <v>44498</v>
      </c>
      <c r="M3220" s="140">
        <v>10</v>
      </c>
      <c r="N3220" s="132" t="s">
        <v>997</v>
      </c>
      <c r="P3220" s="4" t="e">
        <f>VLOOKUP(H3220,Stock_list!A:Y,25,FALSE)</f>
        <v>#N/A</v>
      </c>
      <c r="Q3220" s="143"/>
      <c r="T3220" s="144"/>
      <c r="U3220" s="145" t="e">
        <f>VLOOKUP(H3220,Stock_list!A:N,14,FALSE)</f>
        <v>#N/A</v>
      </c>
    </row>
    <row r="3221" spans="1:21" ht="16.5" customHeight="1">
      <c r="A3221" s="159" t="s">
        <v>285</v>
      </c>
      <c r="B3221" s="114" t="str">
        <f>VLOOKUP(A3221,'Data pick slip'!B:F,5,FALSE)</f>
        <v>KHJ-MC100-00</v>
      </c>
      <c r="F3221" s="157" t="s">
        <v>227</v>
      </c>
      <c r="H3221" s="138">
        <v>1455</v>
      </c>
      <c r="I3221" s="139" t="e">
        <f>VLOOKUP(H3221,Stock_list!A:R,18,FALSE)</f>
        <v>#N/A</v>
      </c>
      <c r="J3221" s="139" t="e">
        <f>VLOOKUP(H3221,Stock_list!A:S,17,FALSE)</f>
        <v>#N/A</v>
      </c>
      <c r="K3221" s="51" t="e">
        <f>VLOOKUP(H3221,Stock_list!A:T,16,FALSE)</f>
        <v>#N/A</v>
      </c>
      <c r="L3221" s="4">
        <v>44531</v>
      </c>
      <c r="M3221" s="132">
        <v>140</v>
      </c>
      <c r="P3221" s="4" t="e">
        <f>VLOOKUP(H3221,Stock_list!A:Y,25,FALSE)</f>
        <v>#N/A</v>
      </c>
      <c r="Q3221" s="143"/>
      <c r="T3221" s="144"/>
      <c r="U3221" s="145" t="e">
        <f>VLOOKUP(H3221,Stock_list!A:N,14,FALSE)</f>
        <v>#N/A</v>
      </c>
    </row>
    <row r="3222" spans="1:21" ht="16.5" customHeight="1">
      <c r="A3222" s="159" t="s">
        <v>264</v>
      </c>
      <c r="B3222" s="114" t="str">
        <f>VLOOKUP(A3222,'Data pick slip'!B:F,5,FALSE)</f>
        <v>KHJ-MC200-00</v>
      </c>
      <c r="F3222" s="157" t="s">
        <v>227</v>
      </c>
      <c r="H3222" s="138">
        <v>1455</v>
      </c>
      <c r="I3222" s="139" t="e">
        <f>VLOOKUP(H3222,Stock_list!A:R,18,FALSE)</f>
        <v>#N/A</v>
      </c>
      <c r="J3222" s="139" t="e">
        <f>VLOOKUP(H3222,Stock_list!A:S,17,FALSE)</f>
        <v>#N/A</v>
      </c>
      <c r="K3222" s="51" t="e">
        <f>VLOOKUP(H3222,Stock_list!A:T,16,FALSE)</f>
        <v>#N/A</v>
      </c>
      <c r="L3222" s="4">
        <v>44531</v>
      </c>
      <c r="M3222" s="132">
        <v>20</v>
      </c>
      <c r="P3222" s="4" t="e">
        <f>VLOOKUP(H3222,Stock_list!A:Y,25,FALSE)</f>
        <v>#N/A</v>
      </c>
      <c r="Q3222" s="143"/>
      <c r="T3222" s="144"/>
      <c r="U3222" s="145" t="e">
        <f>VLOOKUP(H3222,Stock_list!A:N,14,FALSE)</f>
        <v>#N/A</v>
      </c>
    </row>
    <row r="3223" spans="1:21" ht="16.5" customHeight="1">
      <c r="A3223" s="159" t="s">
        <v>265</v>
      </c>
      <c r="B3223" s="114" t="str">
        <f>VLOOKUP(A3223,'Data pick slip'!B:F,5,FALSE)</f>
        <v>KHJ-MC400-00</v>
      </c>
      <c r="F3223" s="157" t="s">
        <v>227</v>
      </c>
      <c r="H3223" s="138">
        <v>1455</v>
      </c>
      <c r="I3223" s="139" t="e">
        <f>VLOOKUP(H3223,Stock_list!A:R,18,FALSE)</f>
        <v>#N/A</v>
      </c>
      <c r="J3223" s="139" t="e">
        <f>VLOOKUP(H3223,Stock_list!A:S,17,FALSE)</f>
        <v>#N/A</v>
      </c>
      <c r="K3223" s="51" t="e">
        <f>VLOOKUP(H3223,Stock_list!A:T,16,FALSE)</f>
        <v>#N/A</v>
      </c>
      <c r="L3223" s="4">
        <v>44531</v>
      </c>
      <c r="M3223" s="132">
        <v>10</v>
      </c>
      <c r="P3223" s="4" t="e">
        <f>VLOOKUP(H3223,Stock_list!A:Y,25,FALSE)</f>
        <v>#N/A</v>
      </c>
      <c r="Q3223" s="143"/>
      <c r="T3223" s="144"/>
      <c r="U3223" s="145" t="e">
        <f>VLOOKUP(H3223,Stock_list!A:N,14,FALSE)</f>
        <v>#N/A</v>
      </c>
    </row>
    <row r="3224" spans="1:21" ht="16.5" customHeight="1">
      <c r="A3224" s="159" t="s">
        <v>285</v>
      </c>
      <c r="B3224" s="114" t="str">
        <f>VLOOKUP(A3224,'Data pick slip'!B:F,5,FALSE)</f>
        <v>KHJ-MC100-00</v>
      </c>
      <c r="F3224" s="157" t="s">
        <v>227</v>
      </c>
      <c r="H3224" s="138">
        <v>1492</v>
      </c>
      <c r="I3224" s="139" t="e">
        <f>VLOOKUP(H3224,Stock_list!A:R,18,FALSE)</f>
        <v>#N/A</v>
      </c>
      <c r="J3224" s="139" t="e">
        <f>VLOOKUP(H3224,Stock_list!A:S,17,FALSE)</f>
        <v>#N/A</v>
      </c>
      <c r="K3224" s="51" t="e">
        <f>VLOOKUP(H3224,Stock_list!A:T,16,FALSE)</f>
        <v>#N/A</v>
      </c>
      <c r="L3224" s="4">
        <v>44662</v>
      </c>
      <c r="M3224" s="140">
        <v>40</v>
      </c>
      <c r="N3224" s="143"/>
      <c r="P3224" s="4" t="e">
        <f>VLOOKUP(H3224,Stock_list!A:Y,25,FALSE)</f>
        <v>#N/A</v>
      </c>
      <c r="T3224" s="144"/>
      <c r="U3224" s="145" t="e">
        <f>VLOOKUP(H3224,Stock_list!A:N,14,FALSE)</f>
        <v>#N/A</v>
      </c>
    </row>
    <row r="3225" spans="1:21" ht="16.5" customHeight="1">
      <c r="A3225" s="159" t="s">
        <v>264</v>
      </c>
      <c r="B3225" s="114" t="str">
        <f>VLOOKUP(A3225,'Data pick slip'!B:F,5,FALSE)</f>
        <v>KHJ-MC200-00</v>
      </c>
      <c r="F3225" s="157" t="s">
        <v>227</v>
      </c>
      <c r="H3225" s="138">
        <v>1492</v>
      </c>
      <c r="I3225" s="139" t="e">
        <f>VLOOKUP(H3225,Stock_list!A:R,18,FALSE)</f>
        <v>#N/A</v>
      </c>
      <c r="J3225" s="139" t="e">
        <f>VLOOKUP(H3225,Stock_list!A:S,17,FALSE)</f>
        <v>#N/A</v>
      </c>
      <c r="K3225" s="51" t="e">
        <f>VLOOKUP(H3225,Stock_list!A:T,16,FALSE)</f>
        <v>#N/A</v>
      </c>
      <c r="L3225" s="4">
        <v>44662</v>
      </c>
      <c r="M3225" s="140">
        <v>1</v>
      </c>
      <c r="N3225" s="143"/>
      <c r="P3225" s="4" t="e">
        <f>VLOOKUP(H3225,Stock_list!A:Y,25,FALSE)</f>
        <v>#N/A</v>
      </c>
      <c r="T3225" s="144"/>
      <c r="U3225" s="145" t="e">
        <f>VLOOKUP(H3225,Stock_list!A:N,14,FALSE)</f>
        <v>#N/A</v>
      </c>
    </row>
    <row r="3226" spans="1:21" ht="16.5" customHeight="1">
      <c r="A3226" s="159" t="s">
        <v>265</v>
      </c>
      <c r="B3226" s="114" t="str">
        <f>VLOOKUP(A3226,'Data pick slip'!B:F,5,FALSE)</f>
        <v>KHJ-MC400-00</v>
      </c>
      <c r="F3226" s="157" t="s">
        <v>227</v>
      </c>
      <c r="H3226" s="138">
        <v>1492</v>
      </c>
      <c r="I3226" s="139" t="e">
        <f>VLOOKUP(H3226,Stock_list!A:R,18,FALSE)</f>
        <v>#N/A</v>
      </c>
      <c r="J3226" s="139" t="e">
        <f>VLOOKUP(H3226,Stock_list!A:S,17,FALSE)</f>
        <v>#N/A</v>
      </c>
      <c r="K3226" s="51" t="e">
        <f>VLOOKUP(H3226,Stock_list!A:T,16,FALSE)</f>
        <v>#N/A</v>
      </c>
      <c r="L3226" s="4">
        <v>44662</v>
      </c>
      <c r="M3226" s="140">
        <v>1</v>
      </c>
      <c r="N3226" s="143"/>
      <c r="P3226" s="4" t="e">
        <f>VLOOKUP(H3226,Stock_list!A:Y,25,FALSE)</f>
        <v>#N/A</v>
      </c>
      <c r="T3226" s="144"/>
      <c r="U3226" s="145" t="e">
        <f>VLOOKUP(H3226,Stock_list!A:N,14,FALSE)</f>
        <v>#N/A</v>
      </c>
    </row>
    <row r="3227" spans="1:21" ht="16.5" customHeight="1">
      <c r="A3227" s="159" t="s">
        <v>266</v>
      </c>
      <c r="B3227" s="114" t="str">
        <f>VLOOKUP(A3227,'Data pick slip'!B:F,5,FALSE)</f>
        <v>KHJ-MC500-00</v>
      </c>
      <c r="F3227" s="157" t="s">
        <v>227</v>
      </c>
      <c r="H3227" s="138">
        <v>1492</v>
      </c>
      <c r="I3227" s="139" t="e">
        <f>VLOOKUP(H3227,Stock_list!A:R,18,FALSE)</f>
        <v>#N/A</v>
      </c>
      <c r="J3227" s="139" t="e">
        <f>VLOOKUP(H3227,Stock_list!A:S,17,FALSE)</f>
        <v>#N/A</v>
      </c>
      <c r="K3227" s="51" t="e">
        <f>VLOOKUP(H3227,Stock_list!A:T,16,FALSE)</f>
        <v>#N/A</v>
      </c>
      <c r="L3227" s="4">
        <v>44662</v>
      </c>
      <c r="M3227" s="140">
        <v>1</v>
      </c>
      <c r="N3227" s="143"/>
      <c r="P3227" s="4" t="e">
        <f>VLOOKUP(H3227,Stock_list!A:Y,25,FALSE)</f>
        <v>#N/A</v>
      </c>
      <c r="T3227" s="144"/>
      <c r="U3227" s="145" t="e">
        <f>VLOOKUP(H3227,Stock_list!A:N,14,FALSE)</f>
        <v>#N/A</v>
      </c>
    </row>
    <row r="3228" spans="1:21" ht="16.5" customHeight="1">
      <c r="A3228" s="159" t="s">
        <v>285</v>
      </c>
      <c r="B3228" s="114" t="str">
        <f>VLOOKUP(A3228,'Data pick slip'!B:F,5,FALSE)</f>
        <v>KHJ-MC100-00</v>
      </c>
      <c r="F3228" s="157" t="s">
        <v>270</v>
      </c>
      <c r="H3228" s="138">
        <v>1492</v>
      </c>
      <c r="I3228" s="139" t="e">
        <f>VLOOKUP(H3228,Stock_list!A:R,18,FALSE)</f>
        <v>#N/A</v>
      </c>
      <c r="J3228" s="139" t="e">
        <f>VLOOKUP(H3228,Stock_list!A:S,17,FALSE)</f>
        <v>#N/A</v>
      </c>
      <c r="K3228" s="51" t="e">
        <f>VLOOKUP(H3228,Stock_list!A:T,16,FALSE)</f>
        <v>#N/A</v>
      </c>
      <c r="L3228" s="4">
        <v>44509</v>
      </c>
      <c r="N3228" s="143"/>
      <c r="O3228" s="132">
        <f>30-30</f>
        <v>0</v>
      </c>
      <c r="P3228" s="4" t="e">
        <f>VLOOKUP(H3228,Stock_list!A:Y,25,FALSE)</f>
        <v>#N/A</v>
      </c>
      <c r="T3228" s="144"/>
      <c r="U3228" s="145" t="e">
        <f>VLOOKUP(H3228,Stock_list!A:N,14,FALSE)</f>
        <v>#N/A</v>
      </c>
    </row>
    <row r="3229" spans="1:21" ht="16.5" customHeight="1">
      <c r="A3229" s="159" t="s">
        <v>264</v>
      </c>
      <c r="B3229" s="114" t="str">
        <f>VLOOKUP(A3229,'Data pick slip'!B:F,5,FALSE)</f>
        <v>KHJ-MC200-00</v>
      </c>
      <c r="F3229" s="157" t="s">
        <v>270</v>
      </c>
      <c r="H3229" s="138">
        <v>1492</v>
      </c>
      <c r="I3229" s="139" t="e">
        <f>VLOOKUP(H3229,Stock_list!A:R,18,FALSE)</f>
        <v>#N/A</v>
      </c>
      <c r="J3229" s="139" t="e">
        <f>VLOOKUP(H3229,Stock_list!A:S,17,FALSE)</f>
        <v>#N/A</v>
      </c>
      <c r="K3229" s="51" t="e">
        <f>VLOOKUP(H3229,Stock_list!A:T,16,FALSE)</f>
        <v>#N/A</v>
      </c>
      <c r="L3229" s="4">
        <v>44509</v>
      </c>
      <c r="N3229" s="143"/>
      <c r="O3229" s="132">
        <f>1-1</f>
        <v>0</v>
      </c>
      <c r="P3229" s="4" t="e">
        <f>VLOOKUP(H3229,Stock_list!A:Y,25,FALSE)</f>
        <v>#N/A</v>
      </c>
      <c r="T3229" s="144"/>
      <c r="U3229" s="145" t="e">
        <f>VLOOKUP(H3229,Stock_list!A:N,14,FALSE)</f>
        <v>#N/A</v>
      </c>
    </row>
    <row r="3230" spans="1:21" ht="16.5" customHeight="1">
      <c r="A3230" s="159" t="s">
        <v>265</v>
      </c>
      <c r="B3230" s="114" t="str">
        <f>VLOOKUP(A3230,'Data pick slip'!B:F,5,FALSE)</f>
        <v>KHJ-MC400-00</v>
      </c>
      <c r="F3230" s="157" t="s">
        <v>270</v>
      </c>
      <c r="H3230" s="138">
        <v>1492</v>
      </c>
      <c r="I3230" s="139" t="e">
        <f>VLOOKUP(H3230,Stock_list!A:R,18,FALSE)</f>
        <v>#N/A</v>
      </c>
      <c r="J3230" s="139" t="e">
        <f>VLOOKUP(H3230,Stock_list!A:S,17,FALSE)</f>
        <v>#N/A</v>
      </c>
      <c r="K3230" s="51" t="e">
        <f>VLOOKUP(H3230,Stock_list!A:T,16,FALSE)</f>
        <v>#N/A</v>
      </c>
      <c r="L3230" s="4">
        <v>44509</v>
      </c>
      <c r="N3230" s="143"/>
      <c r="O3230" s="132">
        <f>1-1</f>
        <v>0</v>
      </c>
      <c r="P3230" s="4" t="e">
        <f>VLOOKUP(H3230,Stock_list!A:Y,25,FALSE)</f>
        <v>#N/A</v>
      </c>
      <c r="T3230" s="144"/>
      <c r="U3230" s="145" t="e">
        <f>VLOOKUP(H3230,Stock_list!A:N,14,FALSE)</f>
        <v>#N/A</v>
      </c>
    </row>
    <row r="3231" spans="1:21" ht="16.5" customHeight="1">
      <c r="A3231" s="159" t="s">
        <v>266</v>
      </c>
      <c r="B3231" s="114" t="str">
        <f>VLOOKUP(A3231,'Data pick slip'!B:F,5,FALSE)</f>
        <v>KHJ-MC500-00</v>
      </c>
      <c r="F3231" s="157" t="s">
        <v>270</v>
      </c>
      <c r="H3231" s="138">
        <v>1492</v>
      </c>
      <c r="I3231" s="139" t="e">
        <f>VLOOKUP(H3231,Stock_list!A:R,18,FALSE)</f>
        <v>#N/A</v>
      </c>
      <c r="J3231" s="139" t="e">
        <f>VLOOKUP(H3231,Stock_list!A:S,17,FALSE)</f>
        <v>#N/A</v>
      </c>
      <c r="K3231" s="51" t="e">
        <f>VLOOKUP(H3231,Stock_list!A:T,16,FALSE)</f>
        <v>#N/A</v>
      </c>
      <c r="L3231" s="4">
        <v>44509</v>
      </c>
      <c r="N3231" s="143"/>
      <c r="O3231" s="132">
        <f>1-1</f>
        <v>0</v>
      </c>
      <c r="P3231" s="4" t="e">
        <f>VLOOKUP(H3231,Stock_list!A:Y,25,FALSE)</f>
        <v>#N/A</v>
      </c>
      <c r="T3231" s="144"/>
      <c r="U3231" s="145" t="e">
        <f>VLOOKUP(H3231,Stock_list!A:N,14,FALSE)</f>
        <v>#N/A</v>
      </c>
    </row>
    <row r="3232" spans="1:21" ht="16.5" customHeight="1">
      <c r="A3232" s="159" t="s">
        <v>261</v>
      </c>
      <c r="B3232" s="114" t="str">
        <f>VLOOKUP(A3232,'Data pick slip'!B:F,5,FALSE)</f>
        <v>KHJ-MC100-00</v>
      </c>
      <c r="F3232" s="157" t="s">
        <v>270</v>
      </c>
      <c r="I3232" s="139" t="s">
        <v>611</v>
      </c>
      <c r="J3232" s="267" t="s">
        <v>998</v>
      </c>
      <c r="K3232" s="51" t="s">
        <v>225</v>
      </c>
      <c r="L3232" s="4">
        <v>44496</v>
      </c>
      <c r="M3232" s="140">
        <v>20</v>
      </c>
      <c r="P3232" s="4" t="s">
        <v>214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264</v>
      </c>
      <c r="B3233" s="114" t="str">
        <f>VLOOKUP(A3233,'Data pick slip'!B:F,5,FALSE)</f>
        <v>KHJ-MC200-00</v>
      </c>
      <c r="F3233" s="157" t="s">
        <v>270</v>
      </c>
      <c r="I3233" s="139" t="s">
        <v>611</v>
      </c>
      <c r="J3233" s="267" t="s">
        <v>998</v>
      </c>
      <c r="K3233" s="51" t="s">
        <v>225</v>
      </c>
      <c r="L3233" s="4">
        <v>44496</v>
      </c>
      <c r="M3233" s="140">
        <v>10</v>
      </c>
      <c r="P3233" s="4" t="s">
        <v>214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267</v>
      </c>
      <c r="B3234" s="114" t="str">
        <f>VLOOKUP(A3234,'Data pick slip'!B:F,5,FALSE)</f>
        <v>KHJ-MC600-00</v>
      </c>
      <c r="F3234" s="157" t="s">
        <v>270</v>
      </c>
      <c r="I3234" s="139" t="s">
        <v>611</v>
      </c>
      <c r="J3234" s="267" t="s">
        <v>998</v>
      </c>
      <c r="K3234" s="51" t="s">
        <v>225</v>
      </c>
      <c r="L3234" s="4">
        <v>44496</v>
      </c>
      <c r="M3234" s="140">
        <v>1</v>
      </c>
      <c r="P3234" s="4" t="s">
        <v>214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264</v>
      </c>
      <c r="B3235" s="114" t="str">
        <f>VLOOKUP(A3235,'Data pick slip'!B:F,5,FALSE)</f>
        <v>KHJ-MC200-00</v>
      </c>
      <c r="F3235" s="157" t="s">
        <v>270</v>
      </c>
      <c r="I3235" s="139" t="s">
        <v>611</v>
      </c>
      <c r="J3235" s="270" t="s">
        <v>999</v>
      </c>
      <c r="K3235" s="51" t="s">
        <v>225</v>
      </c>
      <c r="L3235" s="4">
        <v>44497</v>
      </c>
      <c r="M3235" s="140">
        <v>1</v>
      </c>
      <c r="P3235" s="4" t="s">
        <v>214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265</v>
      </c>
      <c r="B3236" s="114" t="str">
        <f>VLOOKUP(A3236,'Data pick slip'!B:F,5,FALSE)</f>
        <v>KHJ-MC400-00</v>
      </c>
      <c r="F3236" s="157" t="s">
        <v>270</v>
      </c>
      <c r="I3236" s="139" t="s">
        <v>611</v>
      </c>
      <c r="J3236" s="267" t="s">
        <v>1000</v>
      </c>
      <c r="K3236" s="51" t="s">
        <v>225</v>
      </c>
      <c r="L3236" s="4">
        <v>44497</v>
      </c>
      <c r="M3236" s="140">
        <v>2</v>
      </c>
      <c r="P3236" s="4" t="s">
        <v>214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261</v>
      </c>
      <c r="B3237" s="114" t="str">
        <f>VLOOKUP(A3237,'Data pick slip'!B:F,5,FALSE)</f>
        <v>KHJ-MC100-00</v>
      </c>
      <c r="F3237" s="157" t="s">
        <v>227</v>
      </c>
      <c r="I3237" s="139" t="s">
        <v>533</v>
      </c>
      <c r="J3237" s="139" t="s">
        <v>1001</v>
      </c>
      <c r="K3237" s="51" t="s">
        <v>225</v>
      </c>
      <c r="L3237" s="4">
        <v>44509</v>
      </c>
      <c r="M3237" s="309">
        <v>48</v>
      </c>
      <c r="P3237" s="4" t="s">
        <v>214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264</v>
      </c>
      <c r="B3238" s="114" t="str">
        <f>VLOOKUP(A3238,'Data pick slip'!B:F,5,FALSE)</f>
        <v>KHJ-MC200-00</v>
      </c>
      <c r="F3238" s="157" t="s">
        <v>227</v>
      </c>
      <c r="I3238" s="139" t="s">
        <v>533</v>
      </c>
      <c r="J3238" s="139" t="s">
        <v>1001</v>
      </c>
      <c r="K3238" s="51" t="s">
        <v>225</v>
      </c>
      <c r="L3238" s="4">
        <v>44509</v>
      </c>
      <c r="M3238" s="309">
        <v>10</v>
      </c>
      <c r="P3238" s="4" t="s">
        <v>214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265</v>
      </c>
      <c r="B3239" s="114" t="str">
        <f>VLOOKUP(A3239,'Data pick slip'!B:F,5,FALSE)</f>
        <v>KHJ-MC400-00</v>
      </c>
      <c r="F3239" s="157" t="s">
        <v>227</v>
      </c>
      <c r="I3239" s="139" t="s">
        <v>533</v>
      </c>
      <c r="J3239" s="139" t="s">
        <v>1001</v>
      </c>
      <c r="K3239" s="51" t="s">
        <v>225</v>
      </c>
      <c r="L3239" s="4">
        <v>44509</v>
      </c>
      <c r="M3239" s="309">
        <v>10</v>
      </c>
      <c r="P3239" s="4" t="s">
        <v>214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266</v>
      </c>
      <c r="B3240" s="114" t="str">
        <f>VLOOKUP(A3240,'Data pick slip'!B:F,5,FALSE)</f>
        <v>KHJ-MC500-00</v>
      </c>
      <c r="F3240" s="157" t="s">
        <v>227</v>
      </c>
      <c r="I3240" s="139" t="s">
        <v>533</v>
      </c>
      <c r="J3240" s="139" t="s">
        <v>1001</v>
      </c>
      <c r="K3240" s="51" t="s">
        <v>225</v>
      </c>
      <c r="L3240" s="4">
        <v>44509</v>
      </c>
      <c r="M3240" s="309">
        <v>5</v>
      </c>
      <c r="P3240" s="4" t="s">
        <v>214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267</v>
      </c>
      <c r="B3241" s="114" t="str">
        <f>VLOOKUP(A3241,'Data pick slip'!B:F,5,FALSE)</f>
        <v>KHJ-MC600-00</v>
      </c>
      <c r="F3241" s="157" t="s">
        <v>227</v>
      </c>
      <c r="I3241" s="139" t="s">
        <v>533</v>
      </c>
      <c r="J3241" s="139" t="s">
        <v>1001</v>
      </c>
      <c r="K3241" s="51" t="s">
        <v>225</v>
      </c>
      <c r="L3241" s="4">
        <v>44509</v>
      </c>
      <c r="M3241" s="309">
        <v>9</v>
      </c>
      <c r="P3241" s="4" t="s">
        <v>214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268</v>
      </c>
      <c r="B3242" s="114" t="str">
        <f>VLOOKUP(A3242,'Data pick slip'!B:F,5,FALSE)</f>
        <v>KHJ-MC700-00</v>
      </c>
      <c r="F3242" s="157" t="s">
        <v>227</v>
      </c>
      <c r="I3242" s="139" t="s">
        <v>533</v>
      </c>
      <c r="J3242" s="139" t="s">
        <v>1001</v>
      </c>
      <c r="K3242" s="51" t="s">
        <v>225</v>
      </c>
      <c r="L3242" s="4">
        <v>44509</v>
      </c>
      <c r="M3242" s="309">
        <v>1</v>
      </c>
      <c r="P3242" s="4" t="s">
        <v>214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261</v>
      </c>
      <c r="B3243" s="114" t="str">
        <f>VLOOKUP(A3243,'Data pick slip'!B:F,5,FALSE)</f>
        <v>KHJ-MC100-00</v>
      </c>
      <c r="F3243" s="157" t="s">
        <v>270</v>
      </c>
      <c r="H3243" s="138">
        <v>1495</v>
      </c>
      <c r="I3243" s="139" t="e">
        <f>VLOOKUP(H3243,Stock_list!A:R,18,FALSE)</f>
        <v>#N/A</v>
      </c>
      <c r="J3243" s="139" t="e">
        <f>VLOOKUP(H3243,Stock_list!A:S,17,FALSE)</f>
        <v>#N/A</v>
      </c>
      <c r="K3243" s="51" t="e">
        <f>VLOOKUP(H3243,Stock_list!A:T,16,FALSE)</f>
        <v>#N/A</v>
      </c>
      <c r="L3243" s="4">
        <v>44532</v>
      </c>
      <c r="M3243" s="132">
        <v>60</v>
      </c>
      <c r="P3243" s="4" t="e">
        <f>VLOOKUP(H3243,Stock_list!A:Y,25,FALSE)</f>
        <v>#N/A</v>
      </c>
      <c r="Q3243" s="143"/>
      <c r="T3243" s="144"/>
      <c r="U3243" s="145" t="e">
        <f>VLOOKUP(H3243,Stock_list!A:N,14,FALSE)</f>
        <v>#N/A</v>
      </c>
    </row>
    <row r="3244" spans="1:21" ht="16.5" customHeight="1">
      <c r="A3244" s="159" t="s">
        <v>264</v>
      </c>
      <c r="B3244" s="114" t="str">
        <f>VLOOKUP(A3244,'Data pick slip'!B:F,5,FALSE)</f>
        <v>KHJ-MC200-00</v>
      </c>
      <c r="F3244" s="157" t="s">
        <v>270</v>
      </c>
      <c r="H3244" s="138">
        <v>1495</v>
      </c>
      <c r="I3244" s="139" t="e">
        <f>VLOOKUP(H3244,Stock_list!A:R,18,FALSE)</f>
        <v>#N/A</v>
      </c>
      <c r="J3244" s="139" t="e">
        <f>VLOOKUP(H3244,Stock_list!A:S,17,FALSE)</f>
        <v>#N/A</v>
      </c>
      <c r="K3244" s="51" t="e">
        <f>VLOOKUP(H3244,Stock_list!A:T,16,FALSE)</f>
        <v>#N/A</v>
      </c>
      <c r="L3244" s="4">
        <v>44532</v>
      </c>
      <c r="M3244" s="132">
        <v>48</v>
      </c>
      <c r="P3244" s="4" t="e">
        <f>VLOOKUP(H3244,Stock_list!A:Y,25,FALSE)</f>
        <v>#N/A</v>
      </c>
      <c r="Q3244" s="143"/>
      <c r="T3244" s="144"/>
      <c r="U3244" s="145" t="e">
        <f>VLOOKUP(H3244,Stock_list!A:N,14,FALSE)</f>
        <v>#N/A</v>
      </c>
    </row>
    <row r="3245" spans="1:21" ht="16.5" customHeight="1">
      <c r="A3245" s="159" t="s">
        <v>265</v>
      </c>
      <c r="B3245" s="114" t="str">
        <f>VLOOKUP(A3245,'Data pick slip'!B:F,5,FALSE)</f>
        <v>KHJ-MC400-00</v>
      </c>
      <c r="F3245" s="157" t="s">
        <v>270</v>
      </c>
      <c r="H3245" s="138">
        <v>1495</v>
      </c>
      <c r="I3245" s="139" t="e">
        <f>VLOOKUP(H3245,Stock_list!A:R,18,FALSE)</f>
        <v>#N/A</v>
      </c>
      <c r="J3245" s="139" t="e">
        <f>VLOOKUP(H3245,Stock_list!A:S,17,FALSE)</f>
        <v>#N/A</v>
      </c>
      <c r="K3245" s="51" t="e">
        <f>VLOOKUP(H3245,Stock_list!A:T,16,FALSE)</f>
        <v>#N/A</v>
      </c>
      <c r="L3245" s="4">
        <v>44532</v>
      </c>
      <c r="M3245" s="132">
        <v>24</v>
      </c>
      <c r="P3245" s="4" t="e">
        <f>VLOOKUP(H3245,Stock_list!A:Y,25,FALSE)</f>
        <v>#N/A</v>
      </c>
      <c r="Q3245" s="143"/>
      <c r="T3245" s="144"/>
      <c r="U3245" s="145" t="e">
        <f>VLOOKUP(H3245,Stock_list!A:N,14,FALSE)</f>
        <v>#N/A</v>
      </c>
    </row>
    <row r="3246" spans="1:21" ht="16.5" customHeight="1">
      <c r="A3246" s="159" t="s">
        <v>266</v>
      </c>
      <c r="B3246" s="114" t="str">
        <f>VLOOKUP(A3246,'Data pick slip'!B:F,5,FALSE)</f>
        <v>KHJ-MC500-00</v>
      </c>
      <c r="F3246" s="157" t="s">
        <v>270</v>
      </c>
      <c r="H3246" s="138">
        <v>1495</v>
      </c>
      <c r="I3246" s="139" t="e">
        <f>VLOOKUP(H3246,Stock_list!A:R,18,FALSE)</f>
        <v>#N/A</v>
      </c>
      <c r="J3246" s="139" t="e">
        <f>VLOOKUP(H3246,Stock_list!A:S,17,FALSE)</f>
        <v>#N/A</v>
      </c>
      <c r="K3246" s="51" t="e">
        <f>VLOOKUP(H3246,Stock_list!A:T,16,FALSE)</f>
        <v>#N/A</v>
      </c>
      <c r="L3246" s="4">
        <v>44532</v>
      </c>
      <c r="M3246" s="132">
        <v>12</v>
      </c>
      <c r="P3246" s="4" t="e">
        <f>VLOOKUP(H3246,Stock_list!A:Y,25,FALSE)</f>
        <v>#N/A</v>
      </c>
      <c r="Q3246" s="143"/>
      <c r="T3246" s="144"/>
      <c r="U3246" s="145" t="e">
        <f>VLOOKUP(H3246,Stock_list!A:N,14,FALSE)</f>
        <v>#N/A</v>
      </c>
    </row>
    <row r="3247" spans="1:21" ht="16.5" customHeight="1">
      <c r="A3247" s="159" t="s">
        <v>267</v>
      </c>
      <c r="B3247" s="114" t="str">
        <f>VLOOKUP(A3247,'Data pick slip'!B:F,5,FALSE)</f>
        <v>KHJ-MC600-00</v>
      </c>
      <c r="F3247" s="157" t="s">
        <v>270</v>
      </c>
      <c r="H3247" s="138">
        <v>1495</v>
      </c>
      <c r="I3247" s="139" t="e">
        <f>VLOOKUP(H3247,Stock_list!A:R,18,FALSE)</f>
        <v>#N/A</v>
      </c>
      <c r="J3247" s="139" t="e">
        <f>VLOOKUP(H3247,Stock_list!A:S,17,FALSE)</f>
        <v>#N/A</v>
      </c>
      <c r="K3247" s="51" t="e">
        <f>VLOOKUP(H3247,Stock_list!A:T,16,FALSE)</f>
        <v>#N/A</v>
      </c>
      <c r="L3247" s="4">
        <v>44532</v>
      </c>
      <c r="M3247" s="132">
        <v>4</v>
      </c>
      <c r="P3247" s="4" t="e">
        <f>VLOOKUP(H3247,Stock_list!A:Y,25,FALSE)</f>
        <v>#N/A</v>
      </c>
      <c r="Q3247" s="143"/>
      <c r="T3247" s="144"/>
      <c r="U3247" s="145" t="e">
        <f>VLOOKUP(H3247,Stock_list!A:N,14,FALSE)</f>
        <v>#N/A</v>
      </c>
    </row>
    <row r="3248" spans="1:21" ht="16.5" customHeight="1">
      <c r="A3248" s="159" t="s">
        <v>261</v>
      </c>
      <c r="B3248" s="114" t="str">
        <f>VLOOKUP(A3248,'Data pick slip'!B:F,5,FALSE)</f>
        <v>KHJ-MC100-00</v>
      </c>
      <c r="F3248" s="157" t="s">
        <v>227</v>
      </c>
      <c r="H3248" s="138">
        <v>1497</v>
      </c>
      <c r="I3248" s="139" t="e">
        <f>VLOOKUP(H3248,Stock_list!A:R,18,FALSE)</f>
        <v>#N/A</v>
      </c>
      <c r="J3248" s="139" t="e">
        <f>VLOOKUP(H3248,Stock_list!A:S,17,FALSE)</f>
        <v>#N/A</v>
      </c>
      <c r="K3248" s="51" t="e">
        <f>VLOOKUP(H3248,Stock_list!A:T,16,FALSE)</f>
        <v>#N/A</v>
      </c>
      <c r="L3248" s="4">
        <v>44617</v>
      </c>
      <c r="M3248" s="132">
        <v>100</v>
      </c>
      <c r="P3248" s="4" t="e">
        <f>VLOOKUP(H3248,Stock_list!A:Y,25,FALSE)</f>
        <v>#N/A</v>
      </c>
      <c r="Q3248" s="143"/>
      <c r="T3248" s="144"/>
      <c r="U3248" s="145" t="e">
        <f>VLOOKUP(H3248,Stock_list!A:N,14,FALSE)</f>
        <v>#N/A</v>
      </c>
    </row>
    <row r="3249" spans="1:21" ht="16.5" customHeight="1">
      <c r="A3249" s="159" t="s">
        <v>264</v>
      </c>
      <c r="B3249" s="114" t="str">
        <f>VLOOKUP(A3249,'Data pick slip'!B:F,5,FALSE)</f>
        <v>KHJ-MC200-00</v>
      </c>
      <c r="F3249" s="157" t="s">
        <v>227</v>
      </c>
      <c r="H3249" s="138">
        <v>1497</v>
      </c>
      <c r="I3249" s="139" t="e">
        <f>VLOOKUP(H3249,Stock_list!A:R,18,FALSE)</f>
        <v>#N/A</v>
      </c>
      <c r="J3249" s="139" t="e">
        <f>VLOOKUP(H3249,Stock_list!A:S,17,FALSE)</f>
        <v>#N/A</v>
      </c>
      <c r="K3249" s="51" t="e">
        <f>VLOOKUP(H3249,Stock_list!A:T,16,FALSE)</f>
        <v>#N/A</v>
      </c>
      <c r="L3249" s="4">
        <v>44617</v>
      </c>
      <c r="M3249" s="132">
        <v>6</v>
      </c>
      <c r="P3249" s="4" t="e">
        <f>VLOOKUP(H3249,Stock_list!A:Y,25,FALSE)</f>
        <v>#N/A</v>
      </c>
      <c r="Q3249" s="143"/>
      <c r="T3249" s="144"/>
      <c r="U3249" s="145" t="e">
        <f>VLOOKUP(H3249,Stock_list!A:N,14,FALSE)</f>
        <v>#N/A</v>
      </c>
    </row>
    <row r="3250" spans="1:21" ht="16.5" customHeight="1">
      <c r="A3250" s="159" t="s">
        <v>265</v>
      </c>
      <c r="B3250" s="114" t="str">
        <f>VLOOKUP(A3250,'Data pick slip'!B:F,5,FALSE)</f>
        <v>KHJ-MC400-00</v>
      </c>
      <c r="F3250" s="157" t="s">
        <v>227</v>
      </c>
      <c r="H3250" s="138">
        <v>1497</v>
      </c>
      <c r="I3250" s="139" t="e">
        <f>VLOOKUP(H3250,Stock_list!A:R,18,FALSE)</f>
        <v>#N/A</v>
      </c>
      <c r="J3250" s="139" t="e">
        <f>VLOOKUP(H3250,Stock_list!A:S,17,FALSE)</f>
        <v>#N/A</v>
      </c>
      <c r="K3250" s="51" t="e">
        <f>VLOOKUP(H3250,Stock_list!A:T,16,FALSE)</f>
        <v>#N/A</v>
      </c>
      <c r="L3250" s="4">
        <v>44617</v>
      </c>
      <c r="M3250" s="132">
        <v>2</v>
      </c>
      <c r="P3250" s="4" t="e">
        <f>VLOOKUP(H3250,Stock_list!A:Y,25,FALSE)</f>
        <v>#N/A</v>
      </c>
      <c r="Q3250" s="143"/>
      <c r="T3250" s="144"/>
      <c r="U3250" s="145" t="e">
        <f>VLOOKUP(H3250,Stock_list!A:N,14,FALSE)</f>
        <v>#N/A</v>
      </c>
    </row>
    <row r="3251" spans="1:21" ht="16.5" customHeight="1">
      <c r="A3251" s="159" t="s">
        <v>266</v>
      </c>
      <c r="B3251" s="114" t="str">
        <f>VLOOKUP(A3251,'Data pick slip'!B:F,5,FALSE)</f>
        <v>KHJ-MC500-00</v>
      </c>
      <c r="F3251" s="157" t="s">
        <v>227</v>
      </c>
      <c r="H3251" s="138">
        <v>1497</v>
      </c>
      <c r="I3251" s="139" t="e">
        <f>VLOOKUP(H3251,Stock_list!A:R,18,FALSE)</f>
        <v>#N/A</v>
      </c>
      <c r="J3251" s="139" t="e">
        <f>VLOOKUP(H3251,Stock_list!A:S,17,FALSE)</f>
        <v>#N/A</v>
      </c>
      <c r="K3251" s="51" t="e">
        <f>VLOOKUP(H3251,Stock_list!A:T,16,FALSE)</f>
        <v>#N/A</v>
      </c>
      <c r="L3251" s="4">
        <v>44617</v>
      </c>
      <c r="M3251" s="132">
        <v>1</v>
      </c>
      <c r="P3251" s="4" t="e">
        <f>VLOOKUP(H3251,Stock_list!A:Y,25,FALSE)</f>
        <v>#N/A</v>
      </c>
      <c r="Q3251" s="143"/>
      <c r="T3251" s="144"/>
      <c r="U3251" s="145" t="e">
        <f>VLOOKUP(H3251,Stock_list!A:N,14,FALSE)</f>
        <v>#N/A</v>
      </c>
    </row>
    <row r="3252" spans="1:21" ht="16.5" customHeight="1">
      <c r="A3252" s="159" t="s">
        <v>261</v>
      </c>
      <c r="B3252" s="114" t="str">
        <f>VLOOKUP(A3252,'Data pick slip'!B:F,5,FALSE)</f>
        <v>KHJ-MC100-00</v>
      </c>
      <c r="F3252" s="157" t="s">
        <v>270</v>
      </c>
      <c r="H3252" s="138">
        <v>1501</v>
      </c>
      <c r="I3252" s="139" t="e">
        <f>VLOOKUP(H3252,Stock_list!A:R,18,FALSE)</f>
        <v>#N/A</v>
      </c>
      <c r="J3252" s="139" t="e">
        <f>VLOOKUP(H3252,Stock_list!A:S,17,FALSE)</f>
        <v>#N/A</v>
      </c>
      <c r="K3252" s="51" t="e">
        <f>VLOOKUP(H3252,Stock_list!A:T,16,FALSE)</f>
        <v>#N/A</v>
      </c>
      <c r="L3252" s="4">
        <v>44543</v>
      </c>
      <c r="M3252" s="143">
        <v>40</v>
      </c>
      <c r="P3252" s="4" t="e">
        <f>VLOOKUP(H3252,Stock_list!A:Y,25,FALSE)</f>
        <v>#N/A</v>
      </c>
      <c r="T3252" s="144"/>
      <c r="U3252" s="145" t="e">
        <f>VLOOKUP(H3252,Stock_list!A:N,14,FALSE)</f>
        <v>#N/A</v>
      </c>
    </row>
    <row r="3253" spans="1:21" ht="16.5" customHeight="1">
      <c r="A3253" s="159" t="s">
        <v>264</v>
      </c>
      <c r="B3253" s="114" t="str">
        <f>VLOOKUP(A3253,'Data pick slip'!B:F,5,FALSE)</f>
        <v>KHJ-MC200-00</v>
      </c>
      <c r="F3253" s="157" t="s">
        <v>270</v>
      </c>
      <c r="H3253" s="138">
        <v>1501</v>
      </c>
      <c r="I3253" s="139" t="e">
        <f>VLOOKUP(H3253,Stock_list!A:R,18,FALSE)</f>
        <v>#N/A</v>
      </c>
      <c r="J3253" s="139" t="e">
        <f>VLOOKUP(H3253,Stock_list!A:S,17,FALSE)</f>
        <v>#N/A</v>
      </c>
      <c r="K3253" s="51" t="e">
        <f>VLOOKUP(H3253,Stock_list!A:T,16,FALSE)</f>
        <v>#N/A</v>
      </c>
      <c r="L3253" s="4">
        <v>44543</v>
      </c>
      <c r="M3253" s="143">
        <v>10</v>
      </c>
      <c r="P3253" s="4" t="e">
        <f>VLOOKUP(H3253,Stock_list!A:Y,25,FALSE)</f>
        <v>#N/A</v>
      </c>
      <c r="T3253" s="144"/>
      <c r="U3253" s="145" t="e">
        <f>VLOOKUP(H3253,Stock_list!A:N,14,FALSE)</f>
        <v>#N/A</v>
      </c>
    </row>
    <row r="3254" spans="1:21" ht="16.5" customHeight="1">
      <c r="A3254" s="159" t="s">
        <v>265</v>
      </c>
      <c r="B3254" s="114" t="str">
        <f>VLOOKUP(A3254,'Data pick slip'!B:F,5,FALSE)</f>
        <v>KHJ-MC400-00</v>
      </c>
      <c r="F3254" s="157" t="s">
        <v>270</v>
      </c>
      <c r="H3254" s="138">
        <v>1501</v>
      </c>
      <c r="I3254" s="139" t="e">
        <f>VLOOKUP(H3254,Stock_list!A:R,18,FALSE)</f>
        <v>#N/A</v>
      </c>
      <c r="J3254" s="139" t="e">
        <f>VLOOKUP(H3254,Stock_list!A:S,17,FALSE)</f>
        <v>#N/A</v>
      </c>
      <c r="K3254" s="51" t="e">
        <f>VLOOKUP(H3254,Stock_list!A:T,16,FALSE)</f>
        <v>#N/A</v>
      </c>
      <c r="L3254" s="4">
        <v>44543</v>
      </c>
      <c r="M3254" s="143">
        <v>2</v>
      </c>
      <c r="P3254" s="4" t="e">
        <f>VLOOKUP(H3254,Stock_list!A:Y,25,FALSE)</f>
        <v>#N/A</v>
      </c>
      <c r="T3254" s="144"/>
      <c r="U3254" s="145" t="e">
        <f>VLOOKUP(H3254,Stock_list!A:N,14,FALSE)</f>
        <v>#N/A</v>
      </c>
    </row>
    <row r="3255" spans="1:21" ht="16.5" customHeight="1">
      <c r="A3255" s="159" t="s">
        <v>268</v>
      </c>
      <c r="B3255" s="114" t="str">
        <f>VLOOKUP(A3255,'Data pick slip'!B:F,5,FALSE)</f>
        <v>KHJ-MC700-00</v>
      </c>
      <c r="F3255" s="157" t="s">
        <v>270</v>
      </c>
      <c r="I3255" s="139" t="s">
        <v>611</v>
      </c>
      <c r="J3255" s="270" t="s">
        <v>1002</v>
      </c>
      <c r="K3255" s="51" t="s">
        <v>225</v>
      </c>
      <c r="L3255" s="4">
        <v>44498</v>
      </c>
      <c r="M3255" s="140">
        <v>1</v>
      </c>
      <c r="P3255" s="4" t="s">
        <v>214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261</v>
      </c>
      <c r="B3256" s="114" t="str">
        <f>VLOOKUP(A3256,'Data pick slip'!B:F,5,FALSE)</f>
        <v>KHJ-MC100-00</v>
      </c>
      <c r="F3256" s="157" t="s">
        <v>279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264</v>
      </c>
      <c r="B3257" s="114" t="str">
        <f>VLOOKUP(A3257,'Data pick slip'!B:F,5,FALSE)</f>
        <v>KHJ-MC200-00</v>
      </c>
      <c r="F3257" s="157" t="s">
        <v>279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261</v>
      </c>
      <c r="B3258" s="114" t="str">
        <f>VLOOKUP(A3258,'Data pick slip'!B:F,5,FALSE)</f>
        <v>KHJ-MC100-00</v>
      </c>
      <c r="F3258" s="157" t="s">
        <v>227</v>
      </c>
      <c r="I3258" s="139" t="s">
        <v>533</v>
      </c>
      <c r="J3258" s="139" t="s">
        <v>1003</v>
      </c>
      <c r="K3258" s="51" t="s">
        <v>225</v>
      </c>
      <c r="L3258" s="4">
        <v>44529</v>
      </c>
      <c r="M3258" s="309">
        <v>70</v>
      </c>
      <c r="P3258" s="4" t="s">
        <v>214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265</v>
      </c>
      <c r="B3259" s="114" t="str">
        <f>VLOOKUP(A3259,'Data pick slip'!B:F,5,FALSE)</f>
        <v>KHJ-MC400-00</v>
      </c>
      <c r="F3259" s="157" t="s">
        <v>227</v>
      </c>
      <c r="I3259" s="139" t="s">
        <v>533</v>
      </c>
      <c r="J3259" s="139" t="s">
        <v>1003</v>
      </c>
      <c r="K3259" s="51" t="s">
        <v>225</v>
      </c>
      <c r="L3259" s="4">
        <v>44529</v>
      </c>
      <c r="M3259" s="309">
        <v>20</v>
      </c>
      <c r="P3259" s="4" t="s">
        <v>214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266</v>
      </c>
      <c r="B3260" s="114" t="str">
        <f>VLOOKUP(A3260,'Data pick slip'!B:F,5,FALSE)</f>
        <v>KHJ-MC500-00</v>
      </c>
      <c r="F3260" s="157" t="s">
        <v>227</v>
      </c>
      <c r="I3260" s="139" t="s">
        <v>533</v>
      </c>
      <c r="J3260" s="139" t="s">
        <v>1003</v>
      </c>
      <c r="K3260" s="51" t="s">
        <v>225</v>
      </c>
      <c r="L3260" s="4">
        <v>44529</v>
      </c>
      <c r="M3260" s="309">
        <f>20+13</f>
        <v>33</v>
      </c>
      <c r="P3260" s="4" t="s">
        <v>214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267</v>
      </c>
      <c r="B3261" s="114" t="str">
        <f>VLOOKUP(A3261,'Data pick slip'!B:F,5,FALSE)</f>
        <v>KHJ-MC600-00</v>
      </c>
      <c r="F3261" s="157" t="s">
        <v>227</v>
      </c>
      <c r="I3261" s="139" t="s">
        <v>533</v>
      </c>
      <c r="J3261" s="139" t="s">
        <v>1003</v>
      </c>
      <c r="K3261" s="51" t="s">
        <v>225</v>
      </c>
      <c r="L3261" s="4">
        <v>44529</v>
      </c>
      <c r="M3261" s="309">
        <v>5</v>
      </c>
      <c r="P3261" s="4" t="s">
        <v>214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268</v>
      </c>
      <c r="B3262" s="114" t="str">
        <f>VLOOKUP(A3262,'Data pick slip'!B:F,5,FALSE)</f>
        <v>KHJ-MC700-00</v>
      </c>
      <c r="F3262" s="157" t="s">
        <v>227</v>
      </c>
      <c r="I3262" s="139" t="s">
        <v>533</v>
      </c>
      <c r="J3262" s="139" t="s">
        <v>1003</v>
      </c>
      <c r="K3262" s="51" t="s">
        <v>225</v>
      </c>
      <c r="L3262" s="4">
        <v>44529</v>
      </c>
      <c r="M3262" s="309">
        <v>1</v>
      </c>
      <c r="P3262" s="4" t="s">
        <v>214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269</v>
      </c>
      <c r="B3263" s="114" t="str">
        <f>VLOOKUP(A3263,'Data pick slip'!B:F,5,FALSE)</f>
        <v>KHJ-MC800-00</v>
      </c>
      <c r="F3263" s="157" t="s">
        <v>227</v>
      </c>
      <c r="I3263" s="139" t="s">
        <v>533</v>
      </c>
      <c r="J3263" s="139" t="s">
        <v>1003</v>
      </c>
      <c r="K3263" s="51" t="s">
        <v>225</v>
      </c>
      <c r="L3263" s="4">
        <v>44529</v>
      </c>
      <c r="M3263" s="309">
        <v>1</v>
      </c>
      <c r="P3263" s="4" t="s">
        <v>214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261</v>
      </c>
      <c r="B3264" s="114" t="str">
        <f>VLOOKUP(A3264,'Data pick slip'!B:F,5,FALSE)</f>
        <v>KHJ-MC100-00</v>
      </c>
      <c r="F3264" s="157" t="s">
        <v>227</v>
      </c>
      <c r="H3264" s="138">
        <v>1504</v>
      </c>
      <c r="I3264" s="139" t="e">
        <f>VLOOKUP(H3264,Stock_list!A:R,18,FALSE)</f>
        <v>#N/A</v>
      </c>
      <c r="J3264" s="139" t="e">
        <f>VLOOKUP(H3264,Stock_list!A:S,17,FALSE)</f>
        <v>#N/A</v>
      </c>
      <c r="K3264" s="51" t="e">
        <f>VLOOKUP(H3264,Stock_list!A:T,16,FALSE)</f>
        <v>#N/A</v>
      </c>
      <c r="L3264" s="4">
        <v>44701</v>
      </c>
      <c r="M3264" s="132">
        <v>80</v>
      </c>
      <c r="P3264" s="4" t="e">
        <f>VLOOKUP(H3264,Stock_list!A:Y,25,FALSE)</f>
        <v>#N/A</v>
      </c>
      <c r="Q3264" s="143"/>
      <c r="T3264" s="144"/>
      <c r="U3264" s="145" t="e">
        <f>VLOOKUP(H3264,Stock_list!A:N,14,FALSE)</f>
        <v>#N/A</v>
      </c>
    </row>
    <row r="3265" spans="1:21" ht="16.5" customHeight="1">
      <c r="A3265" s="159" t="s">
        <v>264</v>
      </c>
      <c r="B3265" s="114" t="str">
        <f>VLOOKUP(A3265,'Data pick slip'!B:F,5,FALSE)</f>
        <v>KHJ-MC200-00</v>
      </c>
      <c r="F3265" s="157" t="s">
        <v>227</v>
      </c>
      <c r="H3265" s="138">
        <v>1504</v>
      </c>
      <c r="I3265" s="139" t="e">
        <f>VLOOKUP(H3265,Stock_list!A:R,18,FALSE)</f>
        <v>#N/A</v>
      </c>
      <c r="J3265" s="139" t="e">
        <f>VLOOKUP(H3265,Stock_list!A:S,17,FALSE)</f>
        <v>#N/A</v>
      </c>
      <c r="K3265" s="51" t="e">
        <f>VLOOKUP(H3265,Stock_list!A:T,16,FALSE)</f>
        <v>#N/A</v>
      </c>
      <c r="L3265" s="4">
        <v>44701</v>
      </c>
      <c r="M3265" s="132">
        <v>20</v>
      </c>
      <c r="P3265" s="4" t="e">
        <f>VLOOKUP(H3265,Stock_list!A:Y,25,FALSE)</f>
        <v>#N/A</v>
      </c>
      <c r="Q3265" s="143"/>
      <c r="T3265" s="144"/>
      <c r="U3265" s="145" t="e">
        <f>VLOOKUP(H3265,Stock_list!A:N,14,FALSE)</f>
        <v>#N/A</v>
      </c>
    </row>
    <row r="3266" spans="1:21" ht="16.5" customHeight="1">
      <c r="A3266" s="159" t="s">
        <v>265</v>
      </c>
      <c r="B3266" s="114" t="str">
        <f>VLOOKUP(A3266,'Data pick slip'!B:F,5,FALSE)</f>
        <v>KHJ-MC400-00</v>
      </c>
      <c r="F3266" s="157" t="s">
        <v>227</v>
      </c>
      <c r="H3266" s="138">
        <v>1504</v>
      </c>
      <c r="I3266" s="139" t="e">
        <f>VLOOKUP(H3266,Stock_list!A:R,18,FALSE)</f>
        <v>#N/A</v>
      </c>
      <c r="J3266" s="139" t="e">
        <f>VLOOKUP(H3266,Stock_list!A:S,17,FALSE)</f>
        <v>#N/A</v>
      </c>
      <c r="K3266" s="51" t="e">
        <f>VLOOKUP(H3266,Stock_list!A:T,16,FALSE)</f>
        <v>#N/A</v>
      </c>
      <c r="L3266" s="4">
        <v>44701</v>
      </c>
      <c r="M3266" s="132">
        <v>3</v>
      </c>
      <c r="P3266" s="4" t="e">
        <f>VLOOKUP(H3266,Stock_list!A:Y,25,FALSE)</f>
        <v>#N/A</v>
      </c>
      <c r="Q3266" s="143"/>
      <c r="T3266" s="144"/>
      <c r="U3266" s="145" t="e">
        <f>VLOOKUP(H3266,Stock_list!A:N,14,FALSE)</f>
        <v>#N/A</v>
      </c>
    </row>
    <row r="3267" spans="1:21" ht="16.5" customHeight="1">
      <c r="A3267" s="159" t="s">
        <v>266</v>
      </c>
      <c r="B3267" s="114" t="str">
        <f>VLOOKUP(A3267,'Data pick slip'!B:F,5,FALSE)</f>
        <v>KHJ-MC500-00</v>
      </c>
      <c r="F3267" s="157" t="s">
        <v>227</v>
      </c>
      <c r="H3267" s="138">
        <v>1504</v>
      </c>
      <c r="I3267" s="139" t="e">
        <f>VLOOKUP(H3267,Stock_list!A:R,18,FALSE)</f>
        <v>#N/A</v>
      </c>
      <c r="J3267" s="139" t="e">
        <f>VLOOKUP(H3267,Stock_list!A:S,17,FALSE)</f>
        <v>#N/A</v>
      </c>
      <c r="K3267" s="51" t="e">
        <f>VLOOKUP(H3267,Stock_list!A:T,16,FALSE)</f>
        <v>#N/A</v>
      </c>
      <c r="L3267" s="4">
        <v>44701</v>
      </c>
      <c r="M3267" s="132">
        <v>2</v>
      </c>
      <c r="P3267" s="4" t="e">
        <f>VLOOKUP(H3267,Stock_list!A:Y,25,FALSE)</f>
        <v>#N/A</v>
      </c>
      <c r="Q3267" s="143"/>
      <c r="T3267" s="144"/>
      <c r="U3267" s="145" t="e">
        <f>VLOOKUP(H3267,Stock_list!A:N,14,FALSE)</f>
        <v>#N/A</v>
      </c>
    </row>
    <row r="3268" spans="1:21" ht="16.5" customHeight="1">
      <c r="A3268" s="159" t="s">
        <v>267</v>
      </c>
      <c r="B3268" s="114" t="str">
        <f>VLOOKUP(A3268,'Data pick slip'!B:F,5,FALSE)</f>
        <v>KHJ-MC600-00</v>
      </c>
      <c r="F3268" s="157" t="s">
        <v>227</v>
      </c>
      <c r="H3268" s="138">
        <v>1504</v>
      </c>
      <c r="I3268" s="139" t="e">
        <f>VLOOKUP(H3268,Stock_list!A:R,18,FALSE)</f>
        <v>#N/A</v>
      </c>
      <c r="J3268" s="139" t="e">
        <f>VLOOKUP(H3268,Stock_list!A:S,17,FALSE)</f>
        <v>#N/A</v>
      </c>
      <c r="K3268" s="51" t="e">
        <f>VLOOKUP(H3268,Stock_list!A:T,16,FALSE)</f>
        <v>#N/A</v>
      </c>
      <c r="L3268" s="4">
        <v>44701</v>
      </c>
      <c r="M3268" s="132">
        <v>2</v>
      </c>
      <c r="P3268" s="4" t="e">
        <f>VLOOKUP(H3268,Stock_list!A:Y,25,FALSE)</f>
        <v>#N/A</v>
      </c>
      <c r="Q3268" s="143"/>
      <c r="T3268" s="144"/>
      <c r="U3268" s="145" t="e">
        <f>VLOOKUP(H3268,Stock_list!A:N,14,FALSE)</f>
        <v>#N/A</v>
      </c>
    </row>
    <row r="3269" spans="1:21" ht="16.5" customHeight="1">
      <c r="A3269" s="159" t="s">
        <v>261</v>
      </c>
      <c r="B3269" s="114" t="str">
        <f>VLOOKUP(A3269,'Data pick slip'!B:F,5,FALSE)</f>
        <v>KHJ-MC100-00</v>
      </c>
      <c r="F3269" s="157" t="s">
        <v>227</v>
      </c>
      <c r="H3269" s="138">
        <v>1504</v>
      </c>
      <c r="I3269" s="139" t="e">
        <f>VLOOKUP(H3269,Stock_list!A:R,18,FALSE)</f>
        <v>#N/A</v>
      </c>
      <c r="J3269" s="139" t="e">
        <f>VLOOKUP(H3269,Stock_list!A:S,17,FALSE)</f>
        <v>#N/A</v>
      </c>
      <c r="K3269" s="51" t="e">
        <f>VLOOKUP(H3269,Stock_list!A:T,16,FALSE)</f>
        <v>#N/A</v>
      </c>
      <c r="L3269" s="4">
        <v>44642</v>
      </c>
      <c r="M3269" s="132">
        <v>80</v>
      </c>
      <c r="P3269" s="4" t="e">
        <f>VLOOKUP(H3269,Stock_list!A:Y,25,FALSE)</f>
        <v>#N/A</v>
      </c>
      <c r="Q3269" s="143"/>
      <c r="T3269" s="144"/>
      <c r="U3269" s="145" t="e">
        <f>VLOOKUP(H3269,Stock_list!A:N,14,FALSE)</f>
        <v>#N/A</v>
      </c>
    </row>
    <row r="3270" spans="1:21" ht="16.5" customHeight="1">
      <c r="A3270" s="159" t="s">
        <v>264</v>
      </c>
      <c r="B3270" s="114" t="str">
        <f>VLOOKUP(A3270,'Data pick slip'!B:F,5,FALSE)</f>
        <v>KHJ-MC200-00</v>
      </c>
      <c r="F3270" s="157" t="s">
        <v>227</v>
      </c>
      <c r="H3270" s="138">
        <v>1504</v>
      </c>
      <c r="I3270" s="139" t="e">
        <f>VLOOKUP(H3270,Stock_list!A:R,18,FALSE)</f>
        <v>#N/A</v>
      </c>
      <c r="J3270" s="139" t="e">
        <f>VLOOKUP(H3270,Stock_list!A:S,17,FALSE)</f>
        <v>#N/A</v>
      </c>
      <c r="K3270" s="51" t="e">
        <f>VLOOKUP(H3270,Stock_list!A:T,16,FALSE)</f>
        <v>#N/A</v>
      </c>
      <c r="L3270" s="4">
        <v>44642</v>
      </c>
      <c r="M3270" s="132">
        <v>20</v>
      </c>
      <c r="P3270" s="4" t="e">
        <f>VLOOKUP(H3270,Stock_list!A:Y,25,FALSE)</f>
        <v>#N/A</v>
      </c>
      <c r="Q3270" s="143"/>
      <c r="T3270" s="144"/>
      <c r="U3270" s="145" t="e">
        <f>VLOOKUP(H3270,Stock_list!A:N,14,FALSE)</f>
        <v>#N/A</v>
      </c>
    </row>
    <row r="3271" spans="1:21" ht="16.5" customHeight="1">
      <c r="A3271" s="159" t="s">
        <v>265</v>
      </c>
      <c r="B3271" s="114" t="str">
        <f>VLOOKUP(A3271,'Data pick slip'!B:F,5,FALSE)</f>
        <v>KHJ-MC400-00</v>
      </c>
      <c r="F3271" s="157" t="s">
        <v>227</v>
      </c>
      <c r="H3271" s="138">
        <v>1504</v>
      </c>
      <c r="I3271" s="139" t="e">
        <f>VLOOKUP(H3271,Stock_list!A:R,18,FALSE)</f>
        <v>#N/A</v>
      </c>
      <c r="J3271" s="139" t="e">
        <f>VLOOKUP(H3271,Stock_list!A:S,17,FALSE)</f>
        <v>#N/A</v>
      </c>
      <c r="K3271" s="51" t="e">
        <f>VLOOKUP(H3271,Stock_list!A:T,16,FALSE)</f>
        <v>#N/A</v>
      </c>
      <c r="L3271" s="4">
        <v>44642</v>
      </c>
      <c r="M3271" s="140">
        <v>3</v>
      </c>
      <c r="P3271" s="4" t="e">
        <f>VLOOKUP(H3271,Stock_list!A:Y,25,FALSE)</f>
        <v>#N/A</v>
      </c>
      <c r="Q3271" s="143"/>
      <c r="T3271" s="144"/>
      <c r="U3271" s="145" t="e">
        <f>VLOOKUP(H3271,Stock_list!A:N,14,FALSE)</f>
        <v>#N/A</v>
      </c>
    </row>
    <row r="3272" spans="1:21" ht="16.5" customHeight="1">
      <c r="A3272" s="159" t="s">
        <v>266</v>
      </c>
      <c r="B3272" s="114" t="str">
        <f>VLOOKUP(A3272,'Data pick slip'!B:F,5,FALSE)</f>
        <v>KHJ-MC500-00</v>
      </c>
      <c r="F3272" s="157" t="s">
        <v>227</v>
      </c>
      <c r="H3272" s="138">
        <v>1504</v>
      </c>
      <c r="I3272" s="139" t="e">
        <f>VLOOKUP(H3272,Stock_list!A:R,18,FALSE)</f>
        <v>#N/A</v>
      </c>
      <c r="J3272" s="139" t="e">
        <f>VLOOKUP(H3272,Stock_list!A:S,17,FALSE)</f>
        <v>#N/A</v>
      </c>
      <c r="K3272" s="51" t="e">
        <f>VLOOKUP(H3272,Stock_list!A:T,16,FALSE)</f>
        <v>#N/A</v>
      </c>
      <c r="L3272" s="4">
        <v>44642</v>
      </c>
      <c r="M3272" s="140">
        <v>2</v>
      </c>
      <c r="P3272" s="4" t="e">
        <f>VLOOKUP(H3272,Stock_list!A:Y,25,FALSE)</f>
        <v>#N/A</v>
      </c>
      <c r="Q3272" s="143"/>
      <c r="T3272" s="144"/>
      <c r="U3272" s="145" t="e">
        <f>VLOOKUP(H3272,Stock_list!A:N,14,FALSE)</f>
        <v>#N/A</v>
      </c>
    </row>
    <row r="3273" spans="1:21" ht="16.5" customHeight="1">
      <c r="A3273" s="159" t="s">
        <v>267</v>
      </c>
      <c r="B3273" s="114" t="str">
        <f>VLOOKUP(A3273,'Data pick slip'!B:F,5,FALSE)</f>
        <v>KHJ-MC600-00</v>
      </c>
      <c r="F3273" s="157" t="s">
        <v>227</v>
      </c>
      <c r="H3273" s="138">
        <v>1504</v>
      </c>
      <c r="I3273" s="139" t="e">
        <f>VLOOKUP(H3273,Stock_list!A:R,18,FALSE)</f>
        <v>#N/A</v>
      </c>
      <c r="J3273" s="139" t="e">
        <f>VLOOKUP(H3273,Stock_list!A:S,17,FALSE)</f>
        <v>#N/A</v>
      </c>
      <c r="K3273" s="51" t="e">
        <f>VLOOKUP(H3273,Stock_list!A:T,16,FALSE)</f>
        <v>#N/A</v>
      </c>
      <c r="L3273" s="4">
        <v>44642</v>
      </c>
      <c r="M3273" s="140">
        <v>2</v>
      </c>
      <c r="P3273" s="4" t="e">
        <f>VLOOKUP(H3273,Stock_list!A:Y,25,FALSE)</f>
        <v>#N/A</v>
      </c>
      <c r="Q3273" s="143"/>
      <c r="T3273" s="144"/>
      <c r="U3273" s="145" t="e">
        <f>VLOOKUP(H3273,Stock_list!A:N,14,FALSE)</f>
        <v>#N/A</v>
      </c>
    </row>
    <row r="3274" spans="1:21" ht="16.5" customHeight="1">
      <c r="A3274" s="159" t="s">
        <v>261</v>
      </c>
      <c r="B3274" s="114" t="str">
        <f>VLOOKUP(A3274,'Data pick slip'!B:F,5,FALSE)</f>
        <v>KHJ-MC100-00</v>
      </c>
      <c r="F3274" s="157" t="s">
        <v>227</v>
      </c>
      <c r="H3274" s="138">
        <v>1508</v>
      </c>
      <c r="I3274" s="139" t="e">
        <f>VLOOKUP(H3274,Stock_list!A:R,18,FALSE)</f>
        <v>#N/A</v>
      </c>
      <c r="J3274" s="139" t="e">
        <f>VLOOKUP(H3274,Stock_list!A:S,17,FALSE)</f>
        <v>#N/A</v>
      </c>
      <c r="K3274" s="51" t="e">
        <f>VLOOKUP(H3274,Stock_list!A:T,16,FALSE)</f>
        <v>#N/A</v>
      </c>
      <c r="L3274" s="4">
        <v>44691</v>
      </c>
      <c r="M3274" s="132">
        <v>15</v>
      </c>
      <c r="P3274" s="4" t="e">
        <f>VLOOKUP(H3274,Stock_list!A:Y,25,FALSE)</f>
        <v>#N/A</v>
      </c>
      <c r="Q3274" s="143"/>
      <c r="T3274" s="144"/>
      <c r="U3274" s="145" t="e">
        <f>VLOOKUP(H3274,Stock_list!A:N,14,FALSE)</f>
        <v>#N/A</v>
      </c>
    </row>
    <row r="3275" spans="1:21" ht="16.5" customHeight="1">
      <c r="A3275" s="159" t="s">
        <v>265</v>
      </c>
      <c r="B3275" s="114" t="str">
        <f>VLOOKUP(A3275,'Data pick slip'!B:F,5,FALSE)</f>
        <v>KHJ-MC400-00</v>
      </c>
      <c r="F3275" s="157" t="s">
        <v>227</v>
      </c>
      <c r="H3275" s="138">
        <v>1508</v>
      </c>
      <c r="I3275" s="139" t="e">
        <f>VLOOKUP(H3275,Stock_list!A:R,18,FALSE)</f>
        <v>#N/A</v>
      </c>
      <c r="J3275" s="139" t="e">
        <f>VLOOKUP(H3275,Stock_list!A:S,17,FALSE)</f>
        <v>#N/A</v>
      </c>
      <c r="K3275" s="51" t="e">
        <f>VLOOKUP(H3275,Stock_list!A:T,16,FALSE)</f>
        <v>#N/A</v>
      </c>
      <c r="L3275" s="4">
        <v>44691</v>
      </c>
      <c r="M3275" s="132">
        <v>2</v>
      </c>
      <c r="P3275" s="4" t="e">
        <f>VLOOKUP(H3275,Stock_list!A:Y,25,FALSE)</f>
        <v>#N/A</v>
      </c>
      <c r="Q3275" s="143"/>
      <c r="T3275" s="144"/>
      <c r="U3275" s="145" t="e">
        <f>VLOOKUP(H3275,Stock_list!A:N,14,FALSE)</f>
        <v>#N/A</v>
      </c>
    </row>
    <row r="3276" spans="1:21" ht="16.5" customHeight="1">
      <c r="A3276" s="159" t="s">
        <v>268</v>
      </c>
      <c r="B3276" s="114" t="str">
        <f>VLOOKUP(A3276,'Data pick slip'!B:F,5,FALSE)</f>
        <v>KHJ-MC700-00</v>
      </c>
      <c r="F3276" s="157" t="s">
        <v>227</v>
      </c>
      <c r="H3276" s="138">
        <v>1508</v>
      </c>
      <c r="I3276" s="139" t="e">
        <f>VLOOKUP(H3276,Stock_list!A:R,18,FALSE)</f>
        <v>#N/A</v>
      </c>
      <c r="J3276" s="139" t="e">
        <f>VLOOKUP(H3276,Stock_list!A:S,17,FALSE)</f>
        <v>#N/A</v>
      </c>
      <c r="K3276" s="51" t="e">
        <f>VLOOKUP(H3276,Stock_list!A:T,16,FALSE)</f>
        <v>#N/A</v>
      </c>
      <c r="L3276" s="4">
        <v>44691</v>
      </c>
      <c r="M3276" s="132">
        <v>1</v>
      </c>
      <c r="P3276" s="4" t="e">
        <f>VLOOKUP(H3276,Stock_list!A:Y,25,FALSE)</f>
        <v>#N/A</v>
      </c>
      <c r="Q3276" s="143"/>
      <c r="T3276" s="144"/>
      <c r="U3276" s="145" t="e">
        <f>VLOOKUP(H3276,Stock_list!A:N,14,FALSE)</f>
        <v>#N/A</v>
      </c>
    </row>
    <row r="3277" spans="1:21" ht="16.5" customHeight="1">
      <c r="A3277" s="159" t="s">
        <v>264</v>
      </c>
      <c r="B3277" s="114" t="str">
        <f>VLOOKUP(A3277,'Data pick slip'!B:F,5,FALSE)</f>
        <v>KHJ-MC200-00</v>
      </c>
      <c r="F3277" s="157" t="s">
        <v>227</v>
      </c>
      <c r="H3277" s="138">
        <v>1510</v>
      </c>
      <c r="I3277" s="139" t="e">
        <f>VLOOKUP(H3277,Stock_list!A:R,18,FALSE)</f>
        <v>#N/A</v>
      </c>
      <c r="J3277" s="139" t="e">
        <f>VLOOKUP(H3277,Stock_list!A:S,17,FALSE)</f>
        <v>#N/A</v>
      </c>
      <c r="K3277" s="51" t="e">
        <f>VLOOKUP(H3277,Stock_list!A:T,16,FALSE)</f>
        <v>#N/A</v>
      </c>
      <c r="L3277" s="4">
        <v>44660</v>
      </c>
      <c r="M3277" s="132">
        <v>2</v>
      </c>
      <c r="P3277" s="4" t="e">
        <f>VLOOKUP(H3277,Stock_list!A:Y,25,FALSE)</f>
        <v>#N/A</v>
      </c>
      <c r="Q3277" s="143"/>
      <c r="T3277" s="144"/>
      <c r="U3277" s="145" t="e">
        <f>VLOOKUP(H3277,Stock_list!A:N,14,FALSE)</f>
        <v>#N/A</v>
      </c>
    </row>
    <row r="3278" spans="1:21" ht="16.5" customHeight="1">
      <c r="A3278" s="159" t="s">
        <v>265</v>
      </c>
      <c r="B3278" s="114" t="str">
        <f>VLOOKUP(A3278,'Data pick slip'!B:F,5,FALSE)</f>
        <v>KHJ-MC400-00</v>
      </c>
      <c r="F3278" s="157" t="s">
        <v>227</v>
      </c>
      <c r="H3278" s="138">
        <v>1510</v>
      </c>
      <c r="I3278" s="139" t="e">
        <f>VLOOKUP(H3278,Stock_list!A:R,18,FALSE)</f>
        <v>#N/A</v>
      </c>
      <c r="J3278" s="139" t="e">
        <f>VLOOKUP(H3278,Stock_list!A:S,17,FALSE)</f>
        <v>#N/A</v>
      </c>
      <c r="K3278" s="51" t="e">
        <f>VLOOKUP(H3278,Stock_list!A:T,16,FALSE)</f>
        <v>#N/A</v>
      </c>
      <c r="L3278" s="4">
        <v>44660</v>
      </c>
      <c r="M3278" s="132">
        <v>2</v>
      </c>
      <c r="P3278" s="4" t="e">
        <f>VLOOKUP(H3278,Stock_list!A:Y,25,FALSE)</f>
        <v>#N/A</v>
      </c>
      <c r="Q3278" s="143"/>
      <c r="T3278" s="144"/>
      <c r="U3278" s="145" t="e">
        <f>VLOOKUP(H3278,Stock_list!A:N,14,FALSE)</f>
        <v>#N/A</v>
      </c>
    </row>
    <row r="3279" spans="1:21" ht="16.5" customHeight="1">
      <c r="A3279" s="159" t="s">
        <v>266</v>
      </c>
      <c r="B3279" s="114" t="str">
        <f>VLOOKUP(A3279,'Data pick slip'!B:F,5,FALSE)</f>
        <v>KHJ-MC500-00</v>
      </c>
      <c r="F3279" s="157" t="s">
        <v>227</v>
      </c>
      <c r="H3279" s="138">
        <v>1510</v>
      </c>
      <c r="I3279" s="139" t="e">
        <f>VLOOKUP(H3279,Stock_list!A:R,18,FALSE)</f>
        <v>#N/A</v>
      </c>
      <c r="J3279" s="139" t="e">
        <f>VLOOKUP(H3279,Stock_list!A:S,17,FALSE)</f>
        <v>#N/A</v>
      </c>
      <c r="K3279" s="51" t="e">
        <f>VLOOKUP(H3279,Stock_list!A:T,16,FALSE)</f>
        <v>#N/A</v>
      </c>
      <c r="L3279" s="4">
        <v>44660</v>
      </c>
      <c r="M3279" s="132">
        <v>1</v>
      </c>
      <c r="P3279" s="4" t="e">
        <f>VLOOKUP(H3279,Stock_list!A:Y,25,FALSE)</f>
        <v>#N/A</v>
      </c>
      <c r="Q3279" s="143"/>
      <c r="T3279" s="144"/>
      <c r="U3279" s="145" t="e">
        <f>VLOOKUP(H3279,Stock_list!A:N,14,FALSE)</f>
        <v>#N/A</v>
      </c>
    </row>
    <row r="3280" spans="1:21" ht="16.5" customHeight="1">
      <c r="A3280" s="159" t="s">
        <v>267</v>
      </c>
      <c r="B3280" s="114" t="str">
        <f>VLOOKUP(A3280,'Data pick slip'!B:F,5,FALSE)</f>
        <v>KHJ-MC600-00</v>
      </c>
      <c r="F3280" s="157" t="s">
        <v>227</v>
      </c>
      <c r="H3280" s="138">
        <v>1510</v>
      </c>
      <c r="I3280" s="139" t="e">
        <f>VLOOKUP(H3280,Stock_list!A:R,18,FALSE)</f>
        <v>#N/A</v>
      </c>
      <c r="J3280" s="139" t="e">
        <f>VLOOKUP(H3280,Stock_list!A:S,17,FALSE)</f>
        <v>#N/A</v>
      </c>
      <c r="K3280" s="51" t="e">
        <f>VLOOKUP(H3280,Stock_list!A:T,16,FALSE)</f>
        <v>#N/A</v>
      </c>
      <c r="L3280" s="4">
        <v>44660</v>
      </c>
      <c r="M3280" s="132">
        <v>1</v>
      </c>
      <c r="P3280" s="4" t="e">
        <f>VLOOKUP(H3280,Stock_list!A:Y,25,FALSE)</f>
        <v>#N/A</v>
      </c>
      <c r="Q3280" s="143"/>
      <c r="T3280" s="144"/>
      <c r="U3280" s="145" t="e">
        <f>VLOOKUP(H3280,Stock_list!A:N,14,FALSE)</f>
        <v>#N/A</v>
      </c>
    </row>
    <row r="3281" spans="1:21" ht="16.5" customHeight="1">
      <c r="A3281" s="159" t="s">
        <v>261</v>
      </c>
      <c r="B3281" s="114" t="str">
        <f>VLOOKUP(A3281,'Data pick slip'!B:F,5,FALSE)</f>
        <v>KHJ-MC100-00</v>
      </c>
      <c r="F3281" s="157" t="s">
        <v>270</v>
      </c>
      <c r="H3281" s="138">
        <v>1511</v>
      </c>
      <c r="I3281" s="139" t="e">
        <f>VLOOKUP(H3281,Stock_list!A:R,18,FALSE)</f>
        <v>#N/A</v>
      </c>
      <c r="J3281" s="139" t="e">
        <f>VLOOKUP(H3281,Stock_list!A:S,17,FALSE)</f>
        <v>#N/A</v>
      </c>
      <c r="K3281" s="51" t="e">
        <f>VLOOKUP(H3281,Stock_list!A:T,16,FALSE)</f>
        <v>#N/A</v>
      </c>
      <c r="L3281" s="4">
        <v>44539</v>
      </c>
      <c r="M3281" s="143">
        <v>163</v>
      </c>
      <c r="P3281" s="4" t="e">
        <f>VLOOKUP(H3281,Stock_list!A:Y,25,FALSE)</f>
        <v>#N/A</v>
      </c>
      <c r="T3281" s="144"/>
      <c r="U3281" s="145" t="e">
        <f>VLOOKUP(H3281,Stock_list!A:N,14,FALSE)</f>
        <v>#N/A</v>
      </c>
    </row>
    <row r="3282" spans="1:21" ht="16.5" customHeight="1">
      <c r="A3282" s="159" t="s">
        <v>264</v>
      </c>
      <c r="B3282" s="114" t="str">
        <f>VLOOKUP(A3282,'Data pick slip'!B:F,5,FALSE)</f>
        <v>KHJ-MC200-00</v>
      </c>
      <c r="F3282" s="157" t="s">
        <v>270</v>
      </c>
      <c r="H3282" s="138">
        <v>1511</v>
      </c>
      <c r="I3282" s="139" t="e">
        <f>VLOOKUP(H3282,Stock_list!A:R,18,FALSE)</f>
        <v>#N/A</v>
      </c>
      <c r="J3282" s="139" t="e">
        <f>VLOOKUP(H3282,Stock_list!A:S,17,FALSE)</f>
        <v>#N/A</v>
      </c>
      <c r="K3282" s="51" t="e">
        <f>VLOOKUP(H3282,Stock_list!A:T,16,FALSE)</f>
        <v>#N/A</v>
      </c>
      <c r="L3282" s="4">
        <v>44539</v>
      </c>
      <c r="M3282" s="143">
        <v>15</v>
      </c>
      <c r="P3282" s="4" t="e">
        <f>VLOOKUP(H3282,Stock_list!A:Y,25,FALSE)</f>
        <v>#N/A</v>
      </c>
      <c r="T3282" s="144"/>
      <c r="U3282" s="145" t="e">
        <f>VLOOKUP(H3282,Stock_list!A:N,14,FALSE)</f>
        <v>#N/A</v>
      </c>
    </row>
    <row r="3283" spans="1:21" ht="16.5" customHeight="1">
      <c r="A3283" s="159" t="s">
        <v>265</v>
      </c>
      <c r="B3283" s="114" t="str">
        <f>VLOOKUP(A3283,'Data pick slip'!B:F,5,FALSE)</f>
        <v>KHJ-MC400-00</v>
      </c>
      <c r="F3283" s="157" t="s">
        <v>270</v>
      </c>
      <c r="H3283" s="138">
        <v>1511</v>
      </c>
      <c r="I3283" s="139" t="e">
        <f>VLOOKUP(H3283,Stock_list!A:R,18,FALSE)</f>
        <v>#N/A</v>
      </c>
      <c r="J3283" s="139" t="e">
        <f>VLOOKUP(H3283,Stock_list!A:S,17,FALSE)</f>
        <v>#N/A</v>
      </c>
      <c r="K3283" s="51" t="e">
        <f>VLOOKUP(H3283,Stock_list!A:T,16,FALSE)</f>
        <v>#N/A</v>
      </c>
      <c r="L3283" s="4">
        <v>44539</v>
      </c>
      <c r="M3283" s="143">
        <v>5</v>
      </c>
      <c r="P3283" s="4" t="e">
        <f>VLOOKUP(H3283,Stock_list!A:Y,25,FALSE)</f>
        <v>#N/A</v>
      </c>
      <c r="T3283" s="144"/>
      <c r="U3283" s="145" t="e">
        <f>VLOOKUP(H3283,Stock_list!A:N,14,FALSE)</f>
        <v>#N/A</v>
      </c>
    </row>
    <row r="3284" spans="1:21" ht="16.5" customHeight="1">
      <c r="A3284" s="159" t="s">
        <v>261</v>
      </c>
      <c r="B3284" s="114" t="str">
        <f>VLOOKUP(A3284,'Data pick slip'!B:F,5,FALSE)</f>
        <v>KHJ-MC100-00</v>
      </c>
      <c r="F3284" s="157" t="s">
        <v>270</v>
      </c>
      <c r="H3284" s="138">
        <v>1512</v>
      </c>
      <c r="I3284" s="139" t="e">
        <f>VLOOKUP(H3284,Stock_list!A:R,18,FALSE)</f>
        <v>#N/A</v>
      </c>
      <c r="J3284" s="139" t="e">
        <f>VLOOKUP(H3284,Stock_list!A:S,17,FALSE)</f>
        <v>#N/A</v>
      </c>
      <c r="K3284" s="51" t="e">
        <f>VLOOKUP(H3284,Stock_list!A:T,16,FALSE)</f>
        <v>#N/A</v>
      </c>
      <c r="L3284" s="4">
        <v>44616</v>
      </c>
      <c r="M3284" s="140">
        <v>20</v>
      </c>
      <c r="P3284" s="4" t="e">
        <f>VLOOKUP(H3284,Stock_list!A:Y,25,FALSE)</f>
        <v>#N/A</v>
      </c>
      <c r="Q3284" s="143"/>
      <c r="T3284" s="144"/>
      <c r="U3284" s="145" t="e">
        <f>VLOOKUP(H3284,Stock_list!A:N,14,FALSE)</f>
        <v>#N/A</v>
      </c>
    </row>
    <row r="3285" spans="1:21" ht="16.5" customHeight="1">
      <c r="A3285" s="159" t="s">
        <v>264</v>
      </c>
      <c r="B3285" s="114" t="str">
        <f>VLOOKUP(A3285,'Data pick slip'!B:F,5,FALSE)</f>
        <v>KHJ-MC200-00</v>
      </c>
      <c r="F3285" s="157" t="s">
        <v>270</v>
      </c>
      <c r="H3285" s="138">
        <v>1512</v>
      </c>
      <c r="I3285" s="139" t="e">
        <f>VLOOKUP(H3285,Stock_list!A:R,18,FALSE)</f>
        <v>#N/A</v>
      </c>
      <c r="J3285" s="139" t="e">
        <f>VLOOKUP(H3285,Stock_list!A:S,17,FALSE)</f>
        <v>#N/A</v>
      </c>
      <c r="K3285" s="51" t="e">
        <f>VLOOKUP(H3285,Stock_list!A:T,16,FALSE)</f>
        <v>#N/A</v>
      </c>
      <c r="L3285" s="4">
        <v>44616</v>
      </c>
      <c r="M3285" s="140">
        <v>4</v>
      </c>
      <c r="P3285" s="4" t="e">
        <f>VLOOKUP(H3285,Stock_list!A:Y,25,FALSE)</f>
        <v>#N/A</v>
      </c>
      <c r="Q3285" s="143"/>
      <c r="T3285" s="144"/>
      <c r="U3285" s="145" t="e">
        <f>VLOOKUP(H3285,Stock_list!A:N,14,FALSE)</f>
        <v>#N/A</v>
      </c>
    </row>
    <row r="3286" spans="1:21" ht="16.5" customHeight="1">
      <c r="A3286" s="159" t="s">
        <v>261</v>
      </c>
      <c r="B3286" s="114" t="str">
        <f>VLOOKUP(A3286,'Data pick slip'!B:F,5,FALSE)</f>
        <v>KHJ-MC100-00</v>
      </c>
      <c r="F3286" s="157" t="s">
        <v>270</v>
      </c>
      <c r="H3286" s="138">
        <v>1512</v>
      </c>
      <c r="I3286" s="139" t="e">
        <f>VLOOKUP(H3286,Stock_list!A:R,18,FALSE)</f>
        <v>#N/A</v>
      </c>
      <c r="J3286" s="139" t="e">
        <f>VLOOKUP(H3286,Stock_list!A:S,17,FALSE)</f>
        <v>#N/A</v>
      </c>
      <c r="K3286" s="51" t="e">
        <f>VLOOKUP(H3286,Stock_list!A:T,16,FALSE)</f>
        <v>#N/A</v>
      </c>
      <c r="L3286" s="4">
        <v>44583</v>
      </c>
      <c r="M3286" s="140">
        <v>20</v>
      </c>
      <c r="P3286" s="4" t="e">
        <f>VLOOKUP(H3286,Stock_list!A:Y,25,FALSE)</f>
        <v>#N/A</v>
      </c>
      <c r="Q3286" s="143"/>
      <c r="T3286" s="144"/>
      <c r="U3286" s="145" t="e">
        <f>VLOOKUP(H3286,Stock_list!A:N,14,FALSE)</f>
        <v>#N/A</v>
      </c>
    </row>
    <row r="3287" spans="1:21" ht="16.5" customHeight="1">
      <c r="A3287" s="159" t="s">
        <v>264</v>
      </c>
      <c r="B3287" s="114" t="str">
        <f>VLOOKUP(A3287,'Data pick slip'!B:F,5,FALSE)</f>
        <v>KHJ-MC200-00</v>
      </c>
      <c r="F3287" s="157" t="s">
        <v>270</v>
      </c>
      <c r="H3287" s="138">
        <v>1512</v>
      </c>
      <c r="I3287" s="139" t="e">
        <f>VLOOKUP(H3287,Stock_list!A:R,18,FALSE)</f>
        <v>#N/A</v>
      </c>
      <c r="J3287" s="139" t="e">
        <f>VLOOKUP(H3287,Stock_list!A:S,17,FALSE)</f>
        <v>#N/A</v>
      </c>
      <c r="K3287" s="51" t="e">
        <f>VLOOKUP(H3287,Stock_list!A:T,16,FALSE)</f>
        <v>#N/A</v>
      </c>
      <c r="L3287" s="4">
        <v>44583</v>
      </c>
      <c r="M3287" s="140">
        <v>4</v>
      </c>
      <c r="P3287" s="4" t="e">
        <f>VLOOKUP(H3287,Stock_list!A:Y,25,FALSE)</f>
        <v>#N/A</v>
      </c>
      <c r="Q3287" s="143"/>
      <c r="T3287" s="144"/>
      <c r="U3287" s="145" t="e">
        <f>VLOOKUP(H3287,Stock_list!A:N,14,FALSE)</f>
        <v>#N/A</v>
      </c>
    </row>
    <row r="3288" spans="1:21" ht="16.5" customHeight="1">
      <c r="A3288" s="159" t="s">
        <v>264</v>
      </c>
      <c r="B3288" s="114" t="str">
        <f>VLOOKUP(A3288,'Data pick slip'!B:F,5,FALSE)</f>
        <v>KHJ-MC200-00</v>
      </c>
      <c r="F3288" s="157" t="s">
        <v>270</v>
      </c>
      <c r="I3288" s="139" t="s">
        <v>617</v>
      </c>
      <c r="J3288" s="267" t="s">
        <v>1004</v>
      </c>
      <c r="K3288" s="51" t="s">
        <v>225</v>
      </c>
      <c r="L3288" s="4">
        <v>44539</v>
      </c>
      <c r="M3288" s="140">
        <v>1</v>
      </c>
      <c r="P3288" s="4" t="s">
        <v>214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272</v>
      </c>
      <c r="B3289" s="114" t="str">
        <f>VLOOKUP(A3289,'Data pick slip'!B:F,5,FALSE)</f>
        <v>KLJ-MC100-00</v>
      </c>
      <c r="F3289" s="157" t="s">
        <v>379</v>
      </c>
      <c r="H3289" s="138">
        <v>1514</v>
      </c>
      <c r="I3289" s="139" t="e">
        <f>VLOOKUP(H3289,Stock_list!A:R,18,FALSE)</f>
        <v>#N/A</v>
      </c>
      <c r="J3289" s="139" t="e">
        <f>VLOOKUP(H3289,Stock_list!A:S,17,FALSE)</f>
        <v>#N/A</v>
      </c>
      <c r="K3289" s="51" t="e">
        <f>VLOOKUP(H3289,Stock_list!A:T,16,FALSE)</f>
        <v>#N/A</v>
      </c>
      <c r="L3289" s="4">
        <v>44670</v>
      </c>
      <c r="M3289" s="143">
        <v>160</v>
      </c>
      <c r="P3289" s="4" t="e">
        <f>VLOOKUP(H3289,Stock_list!A:Y,25,FALSE)</f>
        <v>#N/A</v>
      </c>
      <c r="T3289" s="144"/>
      <c r="U3289" s="145" t="e">
        <f>VLOOKUP(H3289,Stock_list!A:N,14,FALSE)</f>
        <v>#N/A</v>
      </c>
    </row>
    <row r="3290" spans="1:21" ht="16.5" customHeight="1">
      <c r="A3290" s="159" t="s">
        <v>274</v>
      </c>
      <c r="B3290" s="114" t="str">
        <f>VLOOKUP(A3290,'Data pick slip'!B:F,5,FALSE)</f>
        <v>KLJ-MC400-00</v>
      </c>
      <c r="F3290" s="157" t="s">
        <v>379</v>
      </c>
      <c r="H3290" s="138">
        <v>1514</v>
      </c>
      <c r="I3290" s="139" t="e">
        <f>VLOOKUP(H3290,Stock_list!A:R,18,FALSE)</f>
        <v>#N/A</v>
      </c>
      <c r="J3290" s="139" t="e">
        <f>VLOOKUP(H3290,Stock_list!A:S,17,FALSE)</f>
        <v>#N/A</v>
      </c>
      <c r="K3290" s="51" t="e">
        <f>VLOOKUP(H3290,Stock_list!A:T,16,FALSE)</f>
        <v>#N/A</v>
      </c>
      <c r="L3290" s="4">
        <v>44670</v>
      </c>
      <c r="M3290" s="143">
        <v>10</v>
      </c>
      <c r="P3290" s="4" t="e">
        <f>VLOOKUP(H3290,Stock_list!A:Y,25,FALSE)</f>
        <v>#N/A</v>
      </c>
      <c r="T3290" s="144"/>
      <c r="U3290" s="145" t="e">
        <f>VLOOKUP(H3290,Stock_list!A:N,14,FALSE)</f>
        <v>#N/A</v>
      </c>
    </row>
    <row r="3291" spans="1:21" ht="16.5" customHeight="1">
      <c r="A3291" s="159" t="s">
        <v>275</v>
      </c>
      <c r="B3291" s="114" t="str">
        <f>VLOOKUP(A3291,'Data pick slip'!B:F,5,FALSE)</f>
        <v>KLJ-MC500-00</v>
      </c>
      <c r="F3291" s="157" t="s">
        <v>379</v>
      </c>
      <c r="H3291" s="138">
        <v>1514</v>
      </c>
      <c r="I3291" s="139" t="e">
        <f>VLOOKUP(H3291,Stock_list!A:R,18,FALSE)</f>
        <v>#N/A</v>
      </c>
      <c r="J3291" s="139" t="e">
        <f>VLOOKUP(H3291,Stock_list!A:S,17,FALSE)</f>
        <v>#N/A</v>
      </c>
      <c r="K3291" s="51" t="e">
        <f>VLOOKUP(H3291,Stock_list!A:T,16,FALSE)</f>
        <v>#N/A</v>
      </c>
      <c r="L3291" s="4">
        <v>44670</v>
      </c>
      <c r="M3291" s="143">
        <v>2</v>
      </c>
      <c r="P3291" s="4" t="e">
        <f>VLOOKUP(H3291,Stock_list!A:Y,25,FALSE)</f>
        <v>#N/A</v>
      </c>
      <c r="T3291" s="144"/>
      <c r="U3291" s="145" t="e">
        <f>VLOOKUP(H3291,Stock_list!A:N,14,FALSE)</f>
        <v>#N/A</v>
      </c>
    </row>
    <row r="3292" spans="1:21" ht="16.5" customHeight="1">
      <c r="A3292" s="159" t="s">
        <v>276</v>
      </c>
      <c r="B3292" s="114" t="str">
        <f>VLOOKUP(A3292,'Data pick slip'!B:F,5,FALSE)</f>
        <v>KLJ-MC600-00</v>
      </c>
      <c r="F3292" s="157" t="s">
        <v>379</v>
      </c>
      <c r="H3292" s="138">
        <v>1514</v>
      </c>
      <c r="I3292" s="139" t="e">
        <f>VLOOKUP(H3292,Stock_list!A:R,18,FALSE)</f>
        <v>#N/A</v>
      </c>
      <c r="J3292" s="139" t="e">
        <f>VLOOKUP(H3292,Stock_list!A:S,17,FALSE)</f>
        <v>#N/A</v>
      </c>
      <c r="K3292" s="51" t="e">
        <f>VLOOKUP(H3292,Stock_list!A:T,16,FALSE)</f>
        <v>#N/A</v>
      </c>
      <c r="L3292" s="4">
        <v>44670</v>
      </c>
      <c r="M3292" s="143">
        <v>2</v>
      </c>
      <c r="P3292" s="4" t="e">
        <f>VLOOKUP(H3292,Stock_list!A:Y,25,FALSE)</f>
        <v>#N/A</v>
      </c>
      <c r="T3292" s="144"/>
      <c r="U3292" s="145" t="e">
        <f>VLOOKUP(H3292,Stock_list!A:N,14,FALSE)</f>
        <v>#N/A</v>
      </c>
    </row>
    <row r="3293" spans="1:21" ht="16.5" customHeight="1">
      <c r="A3293" s="159" t="s">
        <v>272</v>
      </c>
      <c r="B3293" s="114" t="str">
        <f>VLOOKUP(A3293,'Data pick slip'!B:F,5,FALSE)</f>
        <v>KLJ-MC100-00</v>
      </c>
      <c r="F3293" s="157" t="s">
        <v>379</v>
      </c>
      <c r="H3293" s="138">
        <v>1518</v>
      </c>
      <c r="I3293" s="139" t="e">
        <f>VLOOKUP(H3293,Stock_list!A:R,18,FALSE)</f>
        <v>#N/A</v>
      </c>
      <c r="J3293" s="139" t="e">
        <f>VLOOKUP(H3293,Stock_list!A:S,17,FALSE)</f>
        <v>#N/A</v>
      </c>
      <c r="K3293" s="51" t="e">
        <f>VLOOKUP(H3293,Stock_list!A:T,16,FALSE)</f>
        <v>#N/A</v>
      </c>
      <c r="L3293" s="4">
        <v>44843</v>
      </c>
      <c r="M3293" s="140">
        <v>160</v>
      </c>
      <c r="N3293" s="143"/>
      <c r="P3293" s="4" t="e">
        <f>VLOOKUP(H3293,Stock_list!A:Y,25,FALSE)</f>
        <v>#N/A</v>
      </c>
      <c r="T3293" s="144"/>
      <c r="U3293" s="145" t="e">
        <f>VLOOKUP(H3293,Stock_list!A:N,14,FALSE)</f>
        <v>#N/A</v>
      </c>
    </row>
    <row r="3294" spans="1:21" ht="16.5" customHeight="1">
      <c r="A3294" s="159" t="s">
        <v>274</v>
      </c>
      <c r="B3294" s="114" t="str">
        <f>VLOOKUP(A3294,'Data pick slip'!B:F,5,FALSE)</f>
        <v>KLJ-MC400-00</v>
      </c>
      <c r="F3294" s="157" t="s">
        <v>379</v>
      </c>
      <c r="H3294" s="138">
        <v>1518</v>
      </c>
      <c r="I3294" s="139" t="e">
        <f>VLOOKUP(H3294,Stock_list!A:R,18,FALSE)</f>
        <v>#N/A</v>
      </c>
      <c r="J3294" s="139" t="e">
        <f>VLOOKUP(H3294,Stock_list!A:S,17,FALSE)</f>
        <v>#N/A</v>
      </c>
      <c r="K3294" s="51" t="e">
        <f>VLOOKUP(H3294,Stock_list!A:T,16,FALSE)</f>
        <v>#N/A</v>
      </c>
      <c r="L3294" s="4">
        <v>44843</v>
      </c>
      <c r="M3294" s="140">
        <v>10</v>
      </c>
      <c r="N3294" s="143"/>
      <c r="P3294" s="4" t="e">
        <f>VLOOKUP(H3294,Stock_list!A:Y,25,FALSE)</f>
        <v>#N/A</v>
      </c>
      <c r="T3294" s="144"/>
      <c r="U3294" s="145" t="e">
        <f>VLOOKUP(H3294,Stock_list!A:N,14,FALSE)</f>
        <v>#N/A</v>
      </c>
    </row>
    <row r="3295" spans="1:21" ht="16.5" customHeight="1">
      <c r="A3295" s="159" t="s">
        <v>275</v>
      </c>
      <c r="B3295" s="114" t="str">
        <f>VLOOKUP(A3295,'Data pick slip'!B:F,5,FALSE)</f>
        <v>KLJ-MC500-00</v>
      </c>
      <c r="F3295" s="157" t="s">
        <v>379</v>
      </c>
      <c r="H3295" s="138">
        <v>1518</v>
      </c>
      <c r="I3295" s="139" t="e">
        <f>VLOOKUP(H3295,Stock_list!A:R,18,FALSE)</f>
        <v>#N/A</v>
      </c>
      <c r="J3295" s="139" t="e">
        <f>VLOOKUP(H3295,Stock_list!A:S,17,FALSE)</f>
        <v>#N/A</v>
      </c>
      <c r="K3295" s="51" t="e">
        <f>VLOOKUP(H3295,Stock_list!A:T,16,FALSE)</f>
        <v>#N/A</v>
      </c>
      <c r="L3295" s="4">
        <v>44843</v>
      </c>
      <c r="M3295" s="140">
        <v>2</v>
      </c>
      <c r="N3295" s="143"/>
      <c r="P3295" s="4" t="e">
        <f>VLOOKUP(H3295,Stock_list!A:Y,25,FALSE)</f>
        <v>#N/A</v>
      </c>
      <c r="T3295" s="144"/>
      <c r="U3295" s="145" t="e">
        <f>VLOOKUP(H3295,Stock_list!A:N,14,FALSE)</f>
        <v>#N/A</v>
      </c>
    </row>
    <row r="3296" spans="1:21" ht="16.5" customHeight="1">
      <c r="A3296" s="159" t="s">
        <v>276</v>
      </c>
      <c r="B3296" s="114" t="str">
        <f>VLOOKUP(A3296,'Data pick slip'!B:F,5,FALSE)</f>
        <v>KLJ-MC600-00</v>
      </c>
      <c r="F3296" s="157" t="s">
        <v>379</v>
      </c>
      <c r="H3296" s="138">
        <v>1518</v>
      </c>
      <c r="I3296" s="139" t="e">
        <f>VLOOKUP(H3296,Stock_list!A:R,18,FALSE)</f>
        <v>#N/A</v>
      </c>
      <c r="J3296" s="139" t="e">
        <f>VLOOKUP(H3296,Stock_list!A:S,17,FALSE)</f>
        <v>#N/A</v>
      </c>
      <c r="K3296" s="51" t="e">
        <f>VLOOKUP(H3296,Stock_list!A:T,16,FALSE)</f>
        <v>#N/A</v>
      </c>
      <c r="L3296" s="4">
        <v>44843</v>
      </c>
      <c r="M3296" s="140">
        <v>1</v>
      </c>
      <c r="N3296" s="143"/>
      <c r="P3296" s="4" t="e">
        <f>VLOOKUP(H3296,Stock_list!A:Y,25,FALSE)</f>
        <v>#N/A</v>
      </c>
      <c r="T3296" s="144"/>
      <c r="U3296" s="145" t="e">
        <f>VLOOKUP(H3296,Stock_list!A:N,14,FALSE)</f>
        <v>#N/A</v>
      </c>
    </row>
    <row r="3297" spans="1:21" ht="21" customHeight="1">
      <c r="A3297" s="159" t="s">
        <v>274</v>
      </c>
      <c r="B3297" s="114" t="str">
        <f>VLOOKUP(A3297,'Data pick slip'!B:F,5,FALSE)</f>
        <v>KLJ-MC400-00</v>
      </c>
      <c r="F3297" s="157" t="s">
        <v>270</v>
      </c>
      <c r="I3297" s="139" t="s">
        <v>611</v>
      </c>
      <c r="J3297" s="270" t="s">
        <v>1005</v>
      </c>
      <c r="K3297" s="51" t="s">
        <v>225</v>
      </c>
      <c r="L3297" s="4">
        <v>44544</v>
      </c>
      <c r="M3297" s="140">
        <v>15</v>
      </c>
      <c r="P3297" s="4" t="s">
        <v>214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266</v>
      </c>
      <c r="B3298" s="114" t="str">
        <f>VLOOKUP(A3298,'Data pick slip'!B:F,5,FALSE)</f>
        <v>KHJ-MC500-00</v>
      </c>
      <c r="F3298" s="157" t="s">
        <v>270</v>
      </c>
      <c r="I3298" s="139" t="s">
        <v>804</v>
      </c>
      <c r="J3298" s="267" t="s">
        <v>1006</v>
      </c>
      <c r="K3298" s="51" t="s">
        <v>225</v>
      </c>
      <c r="L3298" s="4">
        <v>44547</v>
      </c>
      <c r="M3298" s="140">
        <v>4</v>
      </c>
      <c r="P3298" s="4" t="s">
        <v>214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261</v>
      </c>
      <c r="B3299" s="114" t="str">
        <f>VLOOKUP(A3299,'Data pick slip'!B:F,5,FALSE)</f>
        <v>KHJ-MC100-00</v>
      </c>
      <c r="F3299" s="157" t="s">
        <v>270</v>
      </c>
      <c r="I3299" s="139" t="s">
        <v>617</v>
      </c>
      <c r="J3299" s="139" t="s">
        <v>1007</v>
      </c>
      <c r="K3299" s="51" t="s">
        <v>225</v>
      </c>
      <c r="L3299" s="4">
        <v>44547</v>
      </c>
      <c r="M3299" s="140">
        <v>18</v>
      </c>
      <c r="P3299" s="4" t="s">
        <v>214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264</v>
      </c>
      <c r="B3300" s="114" t="str">
        <f>VLOOKUP(A3300,'Data pick slip'!B:F,5,FALSE)</f>
        <v>KHJ-MC200-00</v>
      </c>
      <c r="F3300" s="157" t="s">
        <v>270</v>
      </c>
      <c r="I3300" s="139" t="s">
        <v>1008</v>
      </c>
      <c r="J3300" s="267" t="s">
        <v>1009</v>
      </c>
      <c r="K3300" s="51" t="s">
        <v>35</v>
      </c>
      <c r="L3300" s="4">
        <v>44547</v>
      </c>
      <c r="M3300" s="140">
        <v>10</v>
      </c>
      <c r="P3300" s="4" t="s">
        <v>214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265</v>
      </c>
      <c r="B3301" s="114" t="str">
        <f>VLOOKUP(A3301,'Data pick slip'!B:F,5,FALSE)</f>
        <v>KHJ-MC400-00</v>
      </c>
      <c r="F3301" s="157" t="s">
        <v>270</v>
      </c>
      <c r="I3301" s="139" t="s">
        <v>1008</v>
      </c>
      <c r="J3301" s="139" t="s">
        <v>1007</v>
      </c>
      <c r="K3301" s="51" t="s">
        <v>35</v>
      </c>
      <c r="L3301" s="4">
        <v>44547</v>
      </c>
      <c r="M3301" s="140">
        <v>1</v>
      </c>
      <c r="P3301" s="4" t="s">
        <v>214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261</v>
      </c>
      <c r="B3302" s="114" t="str">
        <f>VLOOKUP(A3302,'Data pick slip'!B:F,5,FALSE)</f>
        <v>KHJ-MC100-00</v>
      </c>
      <c r="F3302" s="157" t="s">
        <v>227</v>
      </c>
      <c r="H3302" s="138">
        <v>1523</v>
      </c>
      <c r="I3302" s="139" t="e">
        <f>VLOOKUP(H3302,Stock_list!A:R,18,FALSE)</f>
        <v>#N/A</v>
      </c>
      <c r="J3302" s="139" t="e">
        <f>VLOOKUP(H3302,Stock_list!A:S,17,FALSE)</f>
        <v>#N/A</v>
      </c>
      <c r="K3302" s="51" t="e">
        <f>VLOOKUP(H3302,Stock_list!A:T,16,FALSE)</f>
        <v>#N/A</v>
      </c>
      <c r="L3302" s="4">
        <v>44776</v>
      </c>
      <c r="M3302" s="132">
        <v>52</v>
      </c>
      <c r="P3302" s="4" t="e">
        <f>VLOOKUP(H3302,Stock_list!A:Y,25,FALSE)</f>
        <v>#N/A</v>
      </c>
      <c r="Q3302" s="143"/>
      <c r="T3302" s="144"/>
      <c r="U3302" s="145" t="e">
        <f>VLOOKUP(H3302,Stock_list!A:N,14,FALSE)</f>
        <v>#N/A</v>
      </c>
    </row>
    <row r="3303" spans="1:21" ht="16.5" customHeight="1">
      <c r="A3303" s="159" t="s">
        <v>264</v>
      </c>
      <c r="B3303" s="114" t="str">
        <f>VLOOKUP(A3303,'Data pick slip'!B:F,5,FALSE)</f>
        <v>KHJ-MC200-00</v>
      </c>
      <c r="F3303" s="157" t="s">
        <v>227</v>
      </c>
      <c r="H3303" s="138">
        <v>1523</v>
      </c>
      <c r="I3303" s="139" t="e">
        <f>VLOOKUP(H3303,Stock_list!A:R,18,FALSE)</f>
        <v>#N/A</v>
      </c>
      <c r="J3303" s="139" t="e">
        <f>VLOOKUP(H3303,Stock_list!A:S,17,FALSE)</f>
        <v>#N/A</v>
      </c>
      <c r="K3303" s="51" t="e">
        <f>VLOOKUP(H3303,Stock_list!A:T,16,FALSE)</f>
        <v>#N/A</v>
      </c>
      <c r="L3303" s="4">
        <v>44776</v>
      </c>
      <c r="M3303" s="132">
        <v>15</v>
      </c>
      <c r="P3303" s="4" t="e">
        <f>VLOOKUP(H3303,Stock_list!A:Y,25,FALSE)</f>
        <v>#N/A</v>
      </c>
      <c r="Q3303" s="143"/>
      <c r="T3303" s="144"/>
      <c r="U3303" s="145" t="e">
        <f>VLOOKUP(H3303,Stock_list!A:N,14,FALSE)</f>
        <v>#N/A</v>
      </c>
    </row>
    <row r="3304" spans="1:21" ht="16.5" customHeight="1">
      <c r="A3304" s="159" t="s">
        <v>265</v>
      </c>
      <c r="B3304" s="114" t="str">
        <f>VLOOKUP(A3304,'Data pick slip'!B:F,5,FALSE)</f>
        <v>KHJ-MC400-00</v>
      </c>
      <c r="F3304" s="157" t="s">
        <v>227</v>
      </c>
      <c r="H3304" s="138">
        <v>1523</v>
      </c>
      <c r="I3304" s="139" t="e">
        <f>VLOOKUP(H3304,Stock_list!A:R,18,FALSE)</f>
        <v>#N/A</v>
      </c>
      <c r="J3304" s="139" t="e">
        <f>VLOOKUP(H3304,Stock_list!A:S,17,FALSE)</f>
        <v>#N/A</v>
      </c>
      <c r="K3304" s="51" t="e">
        <f>VLOOKUP(H3304,Stock_list!A:T,16,FALSE)</f>
        <v>#N/A</v>
      </c>
      <c r="L3304" s="4">
        <v>44776</v>
      </c>
      <c r="M3304" s="132">
        <v>2</v>
      </c>
      <c r="P3304" s="4" t="e">
        <f>VLOOKUP(H3304,Stock_list!A:Y,25,FALSE)</f>
        <v>#N/A</v>
      </c>
      <c r="Q3304" s="143"/>
      <c r="T3304" s="144"/>
      <c r="U3304" s="145" t="e">
        <f>VLOOKUP(H3304,Stock_list!A:N,14,FALSE)</f>
        <v>#N/A</v>
      </c>
    </row>
    <row r="3305" spans="1:21" ht="16.5" customHeight="1">
      <c r="A3305" s="159" t="s">
        <v>266</v>
      </c>
      <c r="B3305" s="114" t="str">
        <f>VLOOKUP(A3305,'Data pick slip'!B:F,5,FALSE)</f>
        <v>KHJ-MC500-00</v>
      </c>
      <c r="F3305" s="157" t="s">
        <v>227</v>
      </c>
      <c r="H3305" s="138">
        <v>1523</v>
      </c>
      <c r="I3305" s="139" t="e">
        <f>VLOOKUP(H3305,Stock_list!A:R,18,FALSE)</f>
        <v>#N/A</v>
      </c>
      <c r="J3305" s="139" t="e">
        <f>VLOOKUP(H3305,Stock_list!A:S,17,FALSE)</f>
        <v>#N/A</v>
      </c>
      <c r="K3305" s="51" t="e">
        <f>VLOOKUP(H3305,Stock_list!A:T,16,FALSE)</f>
        <v>#N/A</v>
      </c>
      <c r="L3305" s="4">
        <v>44776</v>
      </c>
      <c r="M3305" s="132">
        <v>1</v>
      </c>
      <c r="P3305" s="4" t="e">
        <f>VLOOKUP(H3305,Stock_list!A:Y,25,FALSE)</f>
        <v>#N/A</v>
      </c>
      <c r="Q3305" s="143"/>
      <c r="T3305" s="144"/>
      <c r="U3305" s="145" t="e">
        <f>VLOOKUP(H3305,Stock_list!A:N,14,FALSE)</f>
        <v>#N/A</v>
      </c>
    </row>
    <row r="3306" spans="1:21" ht="16.5" customHeight="1">
      <c r="A3306" s="159" t="s">
        <v>261</v>
      </c>
      <c r="B3306" s="114" t="str">
        <f>VLOOKUP(A3306,'Data pick slip'!B:F,5,FALSE)</f>
        <v>KHJ-MC100-00</v>
      </c>
      <c r="F3306" s="157" t="s">
        <v>227</v>
      </c>
      <c r="H3306" s="138">
        <v>1525</v>
      </c>
      <c r="I3306" s="139" t="e">
        <f>VLOOKUP(H3306,Stock_list!A:R,18,FALSE)</f>
        <v>#N/A</v>
      </c>
      <c r="J3306" s="139" t="e">
        <f>VLOOKUP(H3306,Stock_list!A:S,17,FALSE)</f>
        <v>#N/A</v>
      </c>
      <c r="K3306" s="51" t="e">
        <f>VLOOKUP(H3306,Stock_list!A:T,16,FALSE)</f>
        <v>#N/A</v>
      </c>
      <c r="L3306" s="4">
        <v>44712</v>
      </c>
      <c r="M3306" s="140">
        <v>120</v>
      </c>
      <c r="P3306" s="4" t="e">
        <f>VLOOKUP(H3306,Stock_list!A:Y,25,FALSE)</f>
        <v>#N/A</v>
      </c>
      <c r="Q3306" s="143"/>
      <c r="T3306" s="144"/>
      <c r="U3306" s="145" t="e">
        <f>VLOOKUP(H3306,Stock_list!A:N,14,FALSE)</f>
        <v>#N/A</v>
      </c>
    </row>
    <row r="3307" spans="1:21" ht="16.5" customHeight="1">
      <c r="A3307" s="159" t="s">
        <v>261</v>
      </c>
      <c r="B3307" s="114" t="str">
        <f>VLOOKUP(A3307,'Data pick slip'!B:F,5,FALSE)</f>
        <v>KHJ-MC100-00</v>
      </c>
      <c r="F3307" s="157" t="s">
        <v>227</v>
      </c>
      <c r="I3307" s="269" t="s">
        <v>931</v>
      </c>
      <c r="J3307" s="139" t="s">
        <v>1010</v>
      </c>
      <c r="K3307" s="51" t="s">
        <v>225</v>
      </c>
      <c r="L3307" s="4">
        <v>44558</v>
      </c>
      <c r="M3307" s="140">
        <v>3</v>
      </c>
      <c r="P3307" s="4" t="s">
        <v>214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272</v>
      </c>
      <c r="B3308" s="114" t="str">
        <f>VLOOKUP(A3308,'Data pick slip'!B:F,5,FALSE)</f>
        <v>KLJ-MC100-00</v>
      </c>
      <c r="F3308" s="157" t="s">
        <v>270</v>
      </c>
      <c r="H3308" s="138">
        <v>1529</v>
      </c>
      <c r="I3308" s="139" t="e">
        <f>VLOOKUP(H3308,Stock_list!A:R,18,FALSE)</f>
        <v>#N/A</v>
      </c>
      <c r="J3308" s="139" t="e">
        <f>VLOOKUP(H3308,Stock_list!A:S,17,FALSE)</f>
        <v>#N/A</v>
      </c>
      <c r="K3308" s="51" t="e">
        <f>VLOOKUP(H3308,Stock_list!A:T,16,FALSE)</f>
        <v>#N/A</v>
      </c>
      <c r="L3308" s="4">
        <v>44629</v>
      </c>
      <c r="M3308" s="140">
        <v>20</v>
      </c>
      <c r="P3308" s="4" t="e">
        <f>VLOOKUP(H3308,Stock_list!A:Y,25,FALSE)</f>
        <v>#N/A</v>
      </c>
      <c r="Q3308" s="143"/>
      <c r="T3308" s="144"/>
      <c r="U3308" s="145" t="e">
        <f>VLOOKUP(H3308,Stock_list!A:N,14,FALSE)</f>
        <v>#N/A</v>
      </c>
    </row>
    <row r="3309" spans="1:21" ht="16.5" customHeight="1">
      <c r="A3309" s="159" t="s">
        <v>272</v>
      </c>
      <c r="B3309" s="114" t="str">
        <f>VLOOKUP(A3309,'Data pick slip'!B:F,5,FALSE)</f>
        <v>KLJ-MC100-00</v>
      </c>
      <c r="F3309" s="157" t="s">
        <v>227</v>
      </c>
      <c r="H3309" s="138">
        <v>1531</v>
      </c>
      <c r="I3309" s="139" t="e">
        <f>VLOOKUP(H3309,Stock_list!A:R,18,FALSE)</f>
        <v>#N/A</v>
      </c>
      <c r="J3309" s="139" t="e">
        <f>VLOOKUP(H3309,Stock_list!A:S,17,FALSE)</f>
        <v>#N/A</v>
      </c>
      <c r="K3309" s="51" t="e">
        <f>VLOOKUP(H3309,Stock_list!A:T,16,FALSE)</f>
        <v>#N/A</v>
      </c>
      <c r="L3309" s="4"/>
      <c r="N3309" s="132">
        <f>300-30</f>
        <v>270</v>
      </c>
      <c r="P3309" s="4" t="e">
        <f>VLOOKUP(H3309,Stock_list!A:Y,25,FALSE)</f>
        <v>#N/A</v>
      </c>
      <c r="Q3309" s="143"/>
      <c r="T3309" s="144"/>
      <c r="U3309" s="145" t="e">
        <f>VLOOKUP(H3309,Stock_list!A:N,14,FALSE)</f>
        <v>#N/A</v>
      </c>
    </row>
    <row r="3310" spans="1:21" ht="16.5" customHeight="1">
      <c r="A3310" s="159" t="s">
        <v>273</v>
      </c>
      <c r="B3310" s="114" t="str">
        <f>VLOOKUP(A3310,'Data pick slip'!B:F,5,FALSE)</f>
        <v>KLJ-MC200-00</v>
      </c>
      <c r="F3310" s="157" t="s">
        <v>227</v>
      </c>
      <c r="H3310" s="138">
        <v>1531</v>
      </c>
      <c r="I3310" s="139" t="e">
        <f>VLOOKUP(H3310,Stock_list!A:R,18,FALSE)</f>
        <v>#N/A</v>
      </c>
      <c r="J3310" s="139" t="e">
        <f>VLOOKUP(H3310,Stock_list!A:S,17,FALSE)</f>
        <v>#N/A</v>
      </c>
      <c r="K3310" s="51" t="e">
        <f>VLOOKUP(H3310,Stock_list!A:T,16,FALSE)</f>
        <v>#N/A</v>
      </c>
      <c r="L3310" s="4"/>
      <c r="N3310" s="132">
        <v>20</v>
      </c>
      <c r="P3310" s="4" t="e">
        <f>VLOOKUP(H3310,Stock_list!A:Y,25,FALSE)</f>
        <v>#N/A</v>
      </c>
      <c r="Q3310" s="143"/>
      <c r="T3310" s="144"/>
      <c r="U3310" s="145" t="e">
        <f>VLOOKUP(H3310,Stock_list!A:N,14,FALSE)</f>
        <v>#N/A</v>
      </c>
    </row>
    <row r="3311" spans="1:21" ht="16.5" customHeight="1">
      <c r="A3311" s="159" t="s">
        <v>272</v>
      </c>
      <c r="B3311" s="114" t="str">
        <f>VLOOKUP(A3311,'Data pick slip'!B:F,5,FALSE)</f>
        <v>KLJ-MC100-00</v>
      </c>
      <c r="F3311" s="157" t="s">
        <v>227</v>
      </c>
      <c r="H3311" s="138">
        <v>1531</v>
      </c>
      <c r="I3311" s="139" t="e">
        <f>VLOOKUP(H3311,Stock_list!A:R,18,FALSE)</f>
        <v>#N/A</v>
      </c>
      <c r="J3311" s="139" t="e">
        <f>VLOOKUP(H3311,Stock_list!A:S,17,FALSE)</f>
        <v>#N/A</v>
      </c>
      <c r="K3311" s="51" t="e">
        <f>VLOOKUP(H3311,Stock_list!A:T,16,FALSE)</f>
        <v>#N/A</v>
      </c>
      <c r="L3311" s="4">
        <v>44613</v>
      </c>
      <c r="M3311" s="140">
        <v>30</v>
      </c>
      <c r="P3311" s="4" t="e">
        <f>VLOOKUP(H3311,Stock_list!A:Y,25,FALSE)</f>
        <v>#N/A</v>
      </c>
      <c r="Q3311" s="143"/>
      <c r="T3311" s="144"/>
      <c r="U3311" s="145" t="e">
        <f>VLOOKUP(H3311,Stock_list!A:N,14,FALSE)</f>
        <v>#N/A</v>
      </c>
    </row>
    <row r="3312" spans="1:21" ht="16.5" customHeight="1">
      <c r="A3312" s="159" t="s">
        <v>273</v>
      </c>
      <c r="B3312" s="114" t="str">
        <f>VLOOKUP(A3312,'Data pick slip'!B:F,5,FALSE)</f>
        <v>KLJ-MC200-00</v>
      </c>
      <c r="F3312" s="157" t="s">
        <v>227</v>
      </c>
      <c r="H3312" s="138">
        <v>1531</v>
      </c>
      <c r="I3312" s="139" t="e">
        <f>VLOOKUP(H3312,Stock_list!A:R,18,FALSE)</f>
        <v>#N/A</v>
      </c>
      <c r="J3312" s="139" t="e">
        <f>VLOOKUP(H3312,Stock_list!A:S,17,FALSE)</f>
        <v>#N/A</v>
      </c>
      <c r="K3312" s="51" t="e">
        <f>VLOOKUP(H3312,Stock_list!A:T,16,FALSE)</f>
        <v>#N/A</v>
      </c>
      <c r="L3312" s="4">
        <v>44613</v>
      </c>
      <c r="M3312" s="140">
        <v>10</v>
      </c>
      <c r="P3312" s="4" t="e">
        <f>VLOOKUP(H3312,Stock_list!A:Y,25,FALSE)</f>
        <v>#N/A</v>
      </c>
      <c r="Q3312" s="143"/>
      <c r="T3312" s="144"/>
      <c r="U3312" s="145" t="e">
        <f>VLOOKUP(H3312,Stock_list!A:N,14,FALSE)</f>
        <v>#N/A</v>
      </c>
    </row>
    <row r="3313" spans="1:21" ht="16.5" customHeight="1">
      <c r="A3313" s="159" t="s">
        <v>274</v>
      </c>
      <c r="B3313" s="114" t="str">
        <f>VLOOKUP(A3313,'Data pick slip'!B:F,5,FALSE)</f>
        <v>KLJ-MC400-00</v>
      </c>
      <c r="F3313" s="157" t="s">
        <v>227</v>
      </c>
      <c r="H3313" s="138">
        <v>1531</v>
      </c>
      <c r="I3313" s="139" t="e">
        <f>VLOOKUP(H3313,Stock_list!A:R,18,FALSE)</f>
        <v>#N/A</v>
      </c>
      <c r="J3313" s="139" t="e">
        <f>VLOOKUP(H3313,Stock_list!A:S,17,FALSE)</f>
        <v>#N/A</v>
      </c>
      <c r="K3313" s="51" t="e">
        <f>VLOOKUP(H3313,Stock_list!A:T,16,FALSE)</f>
        <v>#N/A</v>
      </c>
      <c r="L3313" s="4">
        <v>44575</v>
      </c>
      <c r="M3313" s="140">
        <v>10</v>
      </c>
      <c r="P3313" s="4" t="e">
        <f>VLOOKUP(H3313,Stock_list!A:Y,25,FALSE)</f>
        <v>#N/A</v>
      </c>
      <c r="Q3313" s="143"/>
      <c r="T3313" s="144"/>
      <c r="U3313" s="145" t="e">
        <f>VLOOKUP(H3313,Stock_list!A:N,14,FALSE)</f>
        <v>#N/A</v>
      </c>
    </row>
    <row r="3314" spans="1:21" ht="16.5" customHeight="1">
      <c r="A3314" s="159" t="s">
        <v>273</v>
      </c>
      <c r="B3314" s="114" t="str">
        <f>VLOOKUP(A3314,'Data pick slip'!B:F,5,FALSE)</f>
        <v>KLJ-MC200-00</v>
      </c>
      <c r="F3314" s="157" t="s">
        <v>270</v>
      </c>
      <c r="H3314" s="138">
        <v>1540</v>
      </c>
      <c r="I3314" s="139" t="e">
        <f>VLOOKUP(H3314,Stock_list!A:R,18,FALSE)</f>
        <v>#N/A</v>
      </c>
      <c r="J3314" s="139" t="e">
        <f>VLOOKUP(H3314,Stock_list!A:S,17,FALSE)</f>
        <v>#N/A</v>
      </c>
      <c r="K3314" s="51" t="e">
        <f>VLOOKUP(H3314,Stock_list!A:T,16,FALSE)</f>
        <v>#N/A</v>
      </c>
      <c r="L3314" s="4">
        <v>44574</v>
      </c>
      <c r="M3314" s="140">
        <v>16</v>
      </c>
      <c r="P3314" s="4" t="e">
        <f>VLOOKUP(H3314,Stock_list!A:Y,25,FALSE)</f>
        <v>#N/A</v>
      </c>
      <c r="Q3314" s="143"/>
      <c r="T3314" s="144"/>
      <c r="U3314" s="145" t="e">
        <f>VLOOKUP(H3314,Stock_list!A:N,14,FALSE)</f>
        <v>#N/A</v>
      </c>
    </row>
    <row r="3315" spans="1:21" ht="16.5" customHeight="1">
      <c r="A3315" s="159" t="s">
        <v>261</v>
      </c>
      <c r="B3315" s="114" t="str">
        <f>VLOOKUP(A3315,'Data pick slip'!B:F,5,FALSE)</f>
        <v>KHJ-MC100-00</v>
      </c>
      <c r="F3315" s="157" t="s">
        <v>270</v>
      </c>
      <c r="I3315" s="139" t="s">
        <v>623</v>
      </c>
      <c r="J3315" s="139" t="s">
        <v>1011</v>
      </c>
      <c r="K3315" s="51" t="s">
        <v>225</v>
      </c>
      <c r="L3315" s="4">
        <v>44617</v>
      </c>
      <c r="O3315" s="132">
        <f>4-4</f>
        <v>0</v>
      </c>
      <c r="P3315" s="4" t="s">
        <v>214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261</v>
      </c>
      <c r="B3316" s="114" t="str">
        <f>VLOOKUP(A3316,'Data pick slip'!B:F,5,FALSE)</f>
        <v>KHJ-MC100-00</v>
      </c>
      <c r="F3316" s="157" t="s">
        <v>270</v>
      </c>
      <c r="I3316" s="139" t="s">
        <v>617</v>
      </c>
      <c r="J3316" s="310" t="s">
        <v>1012</v>
      </c>
      <c r="K3316" s="51" t="s">
        <v>225</v>
      </c>
      <c r="L3316" s="4">
        <v>44565</v>
      </c>
      <c r="M3316" s="140">
        <v>2</v>
      </c>
      <c r="P3316" s="4" t="s">
        <v>214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261</v>
      </c>
      <c r="B3317" s="114" t="str">
        <f>VLOOKUP(A3317,'Data pick slip'!B:F,5,FALSE)</f>
        <v>KHJ-MC100-00</v>
      </c>
      <c r="F3317" s="157" t="s">
        <v>270</v>
      </c>
      <c r="I3317" s="139" t="s">
        <v>617</v>
      </c>
      <c r="J3317" s="310" t="s">
        <v>1013</v>
      </c>
      <c r="K3317" s="51" t="s">
        <v>225</v>
      </c>
      <c r="L3317" s="4">
        <v>44565</v>
      </c>
      <c r="M3317" s="140">
        <v>10</v>
      </c>
      <c r="P3317" s="4" t="s">
        <v>214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272</v>
      </c>
      <c r="B3318" s="114" t="str">
        <f>VLOOKUP(A3318,'Data pick slip'!B:F,5,FALSE)</f>
        <v>KLJ-MC100-00</v>
      </c>
      <c r="F3318" s="157" t="s">
        <v>270</v>
      </c>
      <c r="H3318" s="138">
        <v>1541</v>
      </c>
      <c r="I3318" s="139" t="e">
        <f>VLOOKUP(H3318,Stock_list!A:R,18,FALSE)</f>
        <v>#N/A</v>
      </c>
      <c r="J3318" s="139" t="e">
        <f>VLOOKUP(H3318,Stock_list!A:S,17,FALSE)</f>
        <v>#N/A</v>
      </c>
      <c r="K3318" s="51" t="e">
        <f>VLOOKUP(H3318,Stock_list!A:T,16,FALSE)</f>
        <v>#N/A</v>
      </c>
      <c r="L3318" s="4">
        <v>44625</v>
      </c>
      <c r="M3318" s="140">
        <v>16</v>
      </c>
      <c r="P3318" s="4" t="e">
        <f>VLOOKUP(H3318,Stock_list!A:Y,25,FALSE)</f>
        <v>#N/A</v>
      </c>
      <c r="Q3318" s="143"/>
      <c r="T3318" s="144"/>
      <c r="U3318" s="145" t="e">
        <f>VLOOKUP(H3318,Stock_list!A:N,14,FALSE)</f>
        <v>#N/A</v>
      </c>
    </row>
    <row r="3319" spans="1:21" ht="16.5" customHeight="1">
      <c r="A3319" s="159" t="s">
        <v>261</v>
      </c>
      <c r="B3319" s="114" t="str">
        <f>VLOOKUP(A3319,'Data pick slip'!B:F,5,FALSE)</f>
        <v>KHJ-MC100-00</v>
      </c>
      <c r="F3319" s="157" t="s">
        <v>227</v>
      </c>
      <c r="H3319" s="138">
        <v>1542</v>
      </c>
      <c r="I3319" s="139" t="e">
        <f>VLOOKUP(H3319,Stock_list!A:R,18,FALSE)</f>
        <v>#N/A</v>
      </c>
      <c r="J3319" s="139" t="e">
        <f>VLOOKUP(H3319,Stock_list!A:S,17,FALSE)</f>
        <v>#N/A</v>
      </c>
      <c r="K3319" s="51" t="e">
        <f>VLOOKUP(H3319,Stock_list!A:T,16,FALSE)</f>
        <v>#N/A</v>
      </c>
      <c r="L3319" s="4">
        <v>44823</v>
      </c>
      <c r="M3319" s="140">
        <v>53</v>
      </c>
      <c r="P3319" s="4" t="e">
        <f>VLOOKUP(H3319,Stock_list!A:Y,25,FALSE)</f>
        <v>#N/A</v>
      </c>
      <c r="Q3319" s="143"/>
      <c r="T3319" s="144"/>
      <c r="U3319" s="145" t="e">
        <f>VLOOKUP(H3319,Stock_list!A:N,14,FALSE)</f>
        <v>#N/A</v>
      </c>
    </row>
    <row r="3320" spans="1:21" ht="16.5" customHeight="1">
      <c r="A3320" s="159" t="s">
        <v>264</v>
      </c>
      <c r="B3320" s="114" t="str">
        <f>VLOOKUP(A3320,'Data pick slip'!B:F,5,FALSE)</f>
        <v>KHJ-MC200-00</v>
      </c>
      <c r="F3320" s="157" t="s">
        <v>227</v>
      </c>
      <c r="H3320" s="138">
        <v>1542</v>
      </c>
      <c r="I3320" s="139" t="e">
        <f>VLOOKUP(H3320,Stock_list!A:R,18,FALSE)</f>
        <v>#N/A</v>
      </c>
      <c r="J3320" s="139" t="e">
        <f>VLOOKUP(H3320,Stock_list!A:S,17,FALSE)</f>
        <v>#N/A</v>
      </c>
      <c r="K3320" s="51" t="e">
        <f>VLOOKUP(H3320,Stock_list!A:T,16,FALSE)</f>
        <v>#N/A</v>
      </c>
      <c r="L3320" s="4">
        <v>44823</v>
      </c>
      <c r="M3320" s="140">
        <v>10</v>
      </c>
      <c r="P3320" s="4" t="e">
        <f>VLOOKUP(H3320,Stock_list!A:Y,25,FALSE)</f>
        <v>#N/A</v>
      </c>
      <c r="Q3320" s="143"/>
      <c r="T3320" s="144"/>
      <c r="U3320" s="145" t="e">
        <f>VLOOKUP(H3320,Stock_list!A:N,14,FALSE)</f>
        <v>#N/A</v>
      </c>
    </row>
    <row r="3321" spans="1:21" ht="16.5" customHeight="1">
      <c r="A3321" s="159" t="s">
        <v>265</v>
      </c>
      <c r="B3321" s="114" t="str">
        <f>VLOOKUP(A3321,'Data pick slip'!B:F,5,FALSE)</f>
        <v>KHJ-MC400-00</v>
      </c>
      <c r="F3321" s="157" t="s">
        <v>227</v>
      </c>
      <c r="H3321" s="138">
        <v>1542</v>
      </c>
      <c r="I3321" s="139" t="e">
        <f>VLOOKUP(H3321,Stock_list!A:R,18,FALSE)</f>
        <v>#N/A</v>
      </c>
      <c r="J3321" s="139" t="e">
        <f>VLOOKUP(H3321,Stock_list!A:S,17,FALSE)</f>
        <v>#N/A</v>
      </c>
      <c r="K3321" s="51" t="e">
        <f>VLOOKUP(H3321,Stock_list!A:T,16,FALSE)</f>
        <v>#N/A</v>
      </c>
      <c r="L3321" s="4">
        <v>44823</v>
      </c>
      <c r="M3321" s="140">
        <v>5</v>
      </c>
      <c r="P3321" s="4" t="e">
        <f>VLOOKUP(H3321,Stock_list!A:Y,25,FALSE)</f>
        <v>#N/A</v>
      </c>
      <c r="Q3321" s="143"/>
      <c r="T3321" s="144"/>
      <c r="U3321" s="145" t="e">
        <f>VLOOKUP(H3321,Stock_list!A:N,14,FALSE)</f>
        <v>#N/A</v>
      </c>
    </row>
    <row r="3322" spans="1:21" ht="16.5" customHeight="1">
      <c r="A3322" s="159" t="s">
        <v>272</v>
      </c>
      <c r="B3322" s="114" t="str">
        <f>VLOOKUP(A3322,'Data pick slip'!B:F,5,FALSE)</f>
        <v>KLJ-MC100-00</v>
      </c>
      <c r="F3322" s="157" t="s">
        <v>270</v>
      </c>
      <c r="H3322" s="138">
        <v>1543</v>
      </c>
      <c r="I3322" s="139" t="e">
        <f>VLOOKUP(H3322,Stock_list!A:R,18,FALSE)</f>
        <v>#N/A</v>
      </c>
      <c r="J3322" s="139" t="e">
        <f>VLOOKUP(H3322,Stock_list!A:S,17,FALSE)</f>
        <v>#N/A</v>
      </c>
      <c r="K3322" s="51" t="e">
        <f>VLOOKUP(H3322,Stock_list!A:T,16,FALSE)</f>
        <v>#N/A</v>
      </c>
      <c r="L3322" s="4">
        <v>44614</v>
      </c>
      <c r="M3322" s="140">
        <v>100</v>
      </c>
      <c r="P3322" s="4" t="e">
        <f>VLOOKUP(H3322,Stock_list!A:Y,25,FALSE)</f>
        <v>#N/A</v>
      </c>
      <c r="Q3322" s="143"/>
      <c r="T3322" s="144"/>
      <c r="U3322" s="145" t="e">
        <f>VLOOKUP(H3322,Stock_list!A:N,14,FALSE)</f>
        <v>#N/A</v>
      </c>
    </row>
    <row r="3323" spans="1:21" ht="16.5" customHeight="1">
      <c r="A3323" s="159" t="s">
        <v>267</v>
      </c>
      <c r="B3323" s="114" t="str">
        <f>VLOOKUP(A3323,'Data pick slip'!B:F,5,FALSE)</f>
        <v>KHJ-MC600-00</v>
      </c>
      <c r="F3323" s="157" t="s">
        <v>270</v>
      </c>
      <c r="I3323" s="139" t="s">
        <v>633</v>
      </c>
      <c r="J3323" s="270" t="s">
        <v>1014</v>
      </c>
      <c r="K3323" s="51" t="s">
        <v>225</v>
      </c>
      <c r="L3323" s="4">
        <v>44574</v>
      </c>
      <c r="M3323" s="140">
        <v>2</v>
      </c>
      <c r="P3323" s="4" t="s">
        <v>214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261</v>
      </c>
      <c r="B3324" s="114" t="str">
        <f>VLOOKUP(A3324,'Data pick slip'!B:F,5,FALSE)</f>
        <v>KHJ-MC100-00</v>
      </c>
      <c r="F3324" s="157" t="s">
        <v>227</v>
      </c>
      <c r="H3324" s="138">
        <v>1556</v>
      </c>
      <c r="I3324" s="139" t="e">
        <f>VLOOKUP(H3324,Stock_list!A:R,18,FALSE)</f>
        <v>#N/A</v>
      </c>
      <c r="J3324" s="139" t="e">
        <f>VLOOKUP(H3324,Stock_list!A:S,17,FALSE)</f>
        <v>#N/A</v>
      </c>
      <c r="K3324" s="51" t="e">
        <f>VLOOKUP(H3324,Stock_list!A:T,16,FALSE)</f>
        <v>#N/A</v>
      </c>
      <c r="L3324" s="4">
        <v>44606</v>
      </c>
      <c r="M3324" s="140">
        <v>4</v>
      </c>
      <c r="P3324" s="4" t="e">
        <f>VLOOKUP(H3324,Stock_list!A:Y,25,FALSE)</f>
        <v>#N/A</v>
      </c>
      <c r="Q3324" s="143"/>
      <c r="T3324" s="144"/>
      <c r="U3324" s="145" t="e">
        <f>VLOOKUP(H3324,Stock_list!A:N,14,FALSE)</f>
        <v>#N/A</v>
      </c>
    </row>
    <row r="3325" spans="1:21" ht="16.5" customHeight="1">
      <c r="A3325" s="159" t="s">
        <v>261</v>
      </c>
      <c r="B3325" s="114" t="str">
        <f>VLOOKUP(A3325,'Data pick slip'!B:F,5,FALSE)</f>
        <v>KHJ-MC100-00</v>
      </c>
      <c r="F3325" s="157" t="s">
        <v>227</v>
      </c>
      <c r="H3325" s="138">
        <v>1558</v>
      </c>
      <c r="I3325" s="139" t="e">
        <f>VLOOKUP(H3325,Stock_list!A:R,18,FALSE)</f>
        <v>#N/A</v>
      </c>
      <c r="J3325" s="139" t="e">
        <f>VLOOKUP(H3325,Stock_list!A:S,17,FALSE)</f>
        <v>#N/A</v>
      </c>
      <c r="K3325" s="51" t="e">
        <f>VLOOKUP(H3325,Stock_list!A:T,16,FALSE)</f>
        <v>#N/A</v>
      </c>
      <c r="L3325" s="4">
        <v>44659</v>
      </c>
      <c r="M3325" s="132">
        <v>101</v>
      </c>
      <c r="P3325" s="4" t="e">
        <f>VLOOKUP(H3325,Stock_list!A:Y,25,FALSE)</f>
        <v>#N/A</v>
      </c>
      <c r="Q3325" s="143"/>
      <c r="T3325" s="144"/>
      <c r="U3325" s="145" t="e">
        <f>VLOOKUP(H3325,Stock_list!A:N,14,FALSE)</f>
        <v>#N/A</v>
      </c>
    </row>
    <row r="3326" spans="1:21" ht="16.5" customHeight="1">
      <c r="A3326" s="159" t="s">
        <v>264</v>
      </c>
      <c r="B3326" s="114" t="str">
        <f>VLOOKUP(A3326,'Data pick slip'!B:F,5,FALSE)</f>
        <v>KHJ-MC200-00</v>
      </c>
      <c r="F3326" s="157" t="s">
        <v>227</v>
      </c>
      <c r="H3326" s="138">
        <v>1558</v>
      </c>
      <c r="I3326" s="139" t="e">
        <f>VLOOKUP(H3326,Stock_list!A:R,18,FALSE)</f>
        <v>#N/A</v>
      </c>
      <c r="J3326" s="139" t="e">
        <f>VLOOKUP(H3326,Stock_list!A:S,17,FALSE)</f>
        <v>#N/A</v>
      </c>
      <c r="K3326" s="51" t="e">
        <f>VLOOKUP(H3326,Stock_list!A:T,16,FALSE)</f>
        <v>#N/A</v>
      </c>
      <c r="L3326" s="4">
        <v>44659</v>
      </c>
      <c r="M3326" s="132">
        <v>20</v>
      </c>
      <c r="P3326" s="4" t="e">
        <f>VLOOKUP(H3326,Stock_list!A:Y,25,FALSE)</f>
        <v>#N/A</v>
      </c>
      <c r="Q3326" s="143"/>
      <c r="T3326" s="144"/>
      <c r="U3326" s="145" t="e">
        <f>VLOOKUP(H3326,Stock_list!A:N,14,FALSE)</f>
        <v>#N/A</v>
      </c>
    </row>
    <row r="3327" spans="1:21" ht="16.5" customHeight="1">
      <c r="A3327" s="159" t="s">
        <v>265</v>
      </c>
      <c r="B3327" s="114" t="str">
        <f>VLOOKUP(A3327,'Data pick slip'!B:F,5,FALSE)</f>
        <v>KHJ-MC400-00</v>
      </c>
      <c r="F3327" s="157" t="s">
        <v>227</v>
      </c>
      <c r="H3327" s="138">
        <v>1558</v>
      </c>
      <c r="I3327" s="139" t="e">
        <f>VLOOKUP(H3327,Stock_list!A:R,18,FALSE)</f>
        <v>#N/A</v>
      </c>
      <c r="J3327" s="139" t="e">
        <f>VLOOKUP(H3327,Stock_list!A:S,17,FALSE)</f>
        <v>#N/A</v>
      </c>
      <c r="K3327" s="51" t="e">
        <f>VLOOKUP(H3327,Stock_list!A:T,16,FALSE)</f>
        <v>#N/A</v>
      </c>
      <c r="L3327" s="4">
        <v>44659</v>
      </c>
      <c r="M3327" s="132">
        <v>5</v>
      </c>
      <c r="P3327" s="4" t="e">
        <f>VLOOKUP(H3327,Stock_list!A:Y,25,FALSE)</f>
        <v>#N/A</v>
      </c>
      <c r="Q3327" s="143"/>
      <c r="T3327" s="144"/>
      <c r="U3327" s="145" t="e">
        <f>VLOOKUP(H3327,Stock_list!A:N,14,FALSE)</f>
        <v>#N/A</v>
      </c>
    </row>
    <row r="3328" spans="1:21" ht="16.5" customHeight="1">
      <c r="A3328" s="159" t="s">
        <v>266</v>
      </c>
      <c r="B3328" s="114" t="str">
        <f>VLOOKUP(A3328,'Data pick slip'!B:F,5,FALSE)</f>
        <v>KHJ-MC500-00</v>
      </c>
      <c r="F3328" s="157" t="s">
        <v>227</v>
      </c>
      <c r="H3328" s="138">
        <v>1558</v>
      </c>
      <c r="I3328" s="139" t="e">
        <f>VLOOKUP(H3328,Stock_list!A:R,18,FALSE)</f>
        <v>#N/A</v>
      </c>
      <c r="J3328" s="139" t="e">
        <f>VLOOKUP(H3328,Stock_list!A:S,17,FALSE)</f>
        <v>#N/A</v>
      </c>
      <c r="K3328" s="51" t="e">
        <f>VLOOKUP(H3328,Stock_list!A:T,16,FALSE)</f>
        <v>#N/A</v>
      </c>
      <c r="L3328" s="4">
        <v>44659</v>
      </c>
      <c r="M3328" s="132">
        <v>2</v>
      </c>
      <c r="P3328" s="4" t="e">
        <f>VLOOKUP(H3328,Stock_list!A:Y,25,FALSE)</f>
        <v>#N/A</v>
      </c>
      <c r="Q3328" s="143"/>
      <c r="T3328" s="144"/>
      <c r="U3328" s="145" t="e">
        <f>VLOOKUP(H3328,Stock_list!A:N,14,FALSE)</f>
        <v>#N/A</v>
      </c>
    </row>
    <row r="3329" spans="1:21" ht="16.5" customHeight="1">
      <c r="A3329" s="159" t="s">
        <v>267</v>
      </c>
      <c r="B3329" s="114" t="str">
        <f>VLOOKUP(A3329,'Data pick slip'!B:F,5,FALSE)</f>
        <v>KHJ-MC600-00</v>
      </c>
      <c r="F3329" s="157" t="s">
        <v>227</v>
      </c>
      <c r="H3329" s="138">
        <v>1558</v>
      </c>
      <c r="I3329" s="139" t="e">
        <f>VLOOKUP(H3329,Stock_list!A:R,18,FALSE)</f>
        <v>#N/A</v>
      </c>
      <c r="J3329" s="139" t="e">
        <f>VLOOKUP(H3329,Stock_list!A:S,17,FALSE)</f>
        <v>#N/A</v>
      </c>
      <c r="K3329" s="51" t="e">
        <f>VLOOKUP(H3329,Stock_list!A:T,16,FALSE)</f>
        <v>#N/A</v>
      </c>
      <c r="L3329" s="4">
        <v>44659</v>
      </c>
      <c r="M3329" s="132">
        <v>1</v>
      </c>
      <c r="P3329" s="4" t="e">
        <f>VLOOKUP(H3329,Stock_list!A:Y,25,FALSE)</f>
        <v>#N/A</v>
      </c>
      <c r="Q3329" s="143"/>
      <c r="T3329" s="144"/>
      <c r="U3329" s="145" t="e">
        <f>VLOOKUP(H3329,Stock_list!A:N,14,FALSE)</f>
        <v>#N/A</v>
      </c>
    </row>
    <row r="3330" spans="1:21" ht="16.5" customHeight="1">
      <c r="A3330" s="159" t="s">
        <v>261</v>
      </c>
      <c r="B3330" s="114" t="str">
        <f>VLOOKUP(A3330,'Data pick slip'!B:F,5,FALSE)</f>
        <v>KHJ-MC100-00</v>
      </c>
      <c r="F3330" s="157" t="s">
        <v>270</v>
      </c>
      <c r="I3330" s="139" t="s">
        <v>611</v>
      </c>
      <c r="J3330" s="270" t="s">
        <v>1015</v>
      </c>
      <c r="K3330" s="51" t="s">
        <v>225</v>
      </c>
      <c r="L3330" s="4">
        <v>44582</v>
      </c>
      <c r="M3330" s="140">
        <v>3</v>
      </c>
      <c r="P3330" s="4" t="s">
        <v>214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264</v>
      </c>
      <c r="B3331" s="114" t="str">
        <f>VLOOKUP(A3331,'Data pick slip'!B:F,5,FALSE)</f>
        <v>KHJ-MC200-00</v>
      </c>
      <c r="F3331" s="157" t="s">
        <v>270</v>
      </c>
      <c r="I3331" s="139" t="s">
        <v>611</v>
      </c>
      <c r="J3331" s="270" t="s">
        <v>1015</v>
      </c>
      <c r="K3331" s="51" t="s">
        <v>225</v>
      </c>
      <c r="L3331" s="4">
        <v>44582</v>
      </c>
      <c r="M3331" s="140">
        <v>3</v>
      </c>
      <c r="P3331" s="4" t="s">
        <v>214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261</v>
      </c>
      <c r="B3332" s="114" t="str">
        <f>VLOOKUP(A3332,'Data pick slip'!B:F,5,FALSE)</f>
        <v>KHJ-MC100-00</v>
      </c>
      <c r="F3332" s="157" t="s">
        <v>227</v>
      </c>
      <c r="H3332" s="138">
        <v>1561</v>
      </c>
      <c r="I3332" s="139" t="e">
        <f>VLOOKUP(H3332,Stock_list!A:R,18,FALSE)</f>
        <v>#N/A</v>
      </c>
      <c r="J3332" s="139" t="e">
        <f>VLOOKUP(H3332,Stock_list!A:S,17,FALSE)</f>
        <v>#N/A</v>
      </c>
      <c r="K3332" s="51" t="e">
        <f>VLOOKUP(H3332,Stock_list!A:T,16,FALSE)</f>
        <v>#N/A</v>
      </c>
      <c r="L3332" s="4">
        <v>44691</v>
      </c>
      <c r="M3332" s="132">
        <v>400</v>
      </c>
      <c r="P3332" s="4" t="e">
        <f>VLOOKUP(H3332,Stock_list!A:Y,25,FALSE)</f>
        <v>#N/A</v>
      </c>
      <c r="Q3332" s="143"/>
      <c r="T3332" s="144"/>
      <c r="U3332" s="145" t="e">
        <f>VLOOKUP(H3332,Stock_list!A:N,14,FALSE)</f>
        <v>#N/A</v>
      </c>
    </row>
    <row r="3333" spans="1:21" ht="16.5" customHeight="1">
      <c r="A3333" s="159" t="s">
        <v>264</v>
      </c>
      <c r="B3333" s="114" t="str">
        <f>VLOOKUP(A3333,'Data pick slip'!B:F,5,FALSE)</f>
        <v>KHJ-MC200-00</v>
      </c>
      <c r="F3333" s="157" t="s">
        <v>227</v>
      </c>
      <c r="H3333" s="138">
        <v>1561</v>
      </c>
      <c r="I3333" s="139" t="e">
        <f>VLOOKUP(H3333,Stock_list!A:R,18,FALSE)</f>
        <v>#N/A</v>
      </c>
      <c r="J3333" s="139" t="e">
        <f>VLOOKUP(H3333,Stock_list!A:S,17,FALSE)</f>
        <v>#N/A</v>
      </c>
      <c r="K3333" s="51" t="e">
        <f>VLOOKUP(H3333,Stock_list!A:T,16,FALSE)</f>
        <v>#N/A</v>
      </c>
      <c r="L3333" s="4">
        <v>44691</v>
      </c>
      <c r="M3333" s="132">
        <v>80</v>
      </c>
      <c r="P3333" s="4" t="e">
        <f>VLOOKUP(H3333,Stock_list!A:Y,25,FALSE)</f>
        <v>#N/A</v>
      </c>
      <c r="Q3333" s="143"/>
      <c r="T3333" s="144"/>
      <c r="U3333" s="145" t="e">
        <f>VLOOKUP(H3333,Stock_list!A:N,14,FALSE)</f>
        <v>#N/A</v>
      </c>
    </row>
    <row r="3334" spans="1:21" ht="16.5" customHeight="1">
      <c r="A3334" s="159" t="s">
        <v>266</v>
      </c>
      <c r="B3334" s="114" t="str">
        <f>VLOOKUP(A3334,'Data pick slip'!B:F,5,FALSE)</f>
        <v>KHJ-MC500-00</v>
      </c>
      <c r="F3334" s="157" t="s">
        <v>227</v>
      </c>
      <c r="H3334" s="138">
        <v>1561</v>
      </c>
      <c r="I3334" s="139" t="e">
        <f>VLOOKUP(H3334,Stock_list!A:R,18,FALSE)</f>
        <v>#N/A</v>
      </c>
      <c r="J3334" s="139" t="e">
        <f>VLOOKUP(H3334,Stock_list!A:S,17,FALSE)</f>
        <v>#N/A</v>
      </c>
      <c r="K3334" s="51" t="e">
        <f>VLOOKUP(H3334,Stock_list!A:T,16,FALSE)</f>
        <v>#N/A</v>
      </c>
      <c r="L3334" s="4">
        <v>44691</v>
      </c>
      <c r="M3334" s="132">
        <v>4</v>
      </c>
      <c r="P3334" s="4" t="e">
        <f>VLOOKUP(H3334,Stock_list!A:Y,25,FALSE)</f>
        <v>#N/A</v>
      </c>
      <c r="Q3334" s="143"/>
      <c r="T3334" s="144"/>
      <c r="U3334" s="145" t="e">
        <f>VLOOKUP(H3334,Stock_list!A:N,14,FALSE)</f>
        <v>#N/A</v>
      </c>
    </row>
    <row r="3335" spans="1:21" ht="16.5" customHeight="1">
      <c r="A3335" s="159" t="s">
        <v>267</v>
      </c>
      <c r="B3335" s="114" t="str">
        <f>VLOOKUP(A3335,'Data pick slip'!B:F,5,FALSE)</f>
        <v>KHJ-MC600-00</v>
      </c>
      <c r="F3335" s="157" t="s">
        <v>227</v>
      </c>
      <c r="H3335" s="138">
        <v>1561</v>
      </c>
      <c r="I3335" s="139" t="e">
        <f>VLOOKUP(H3335,Stock_list!A:R,18,FALSE)</f>
        <v>#N/A</v>
      </c>
      <c r="J3335" s="139" t="e">
        <f>VLOOKUP(H3335,Stock_list!A:S,17,FALSE)</f>
        <v>#N/A</v>
      </c>
      <c r="K3335" s="51" t="e">
        <f>VLOOKUP(H3335,Stock_list!A:T,16,FALSE)</f>
        <v>#N/A</v>
      </c>
      <c r="L3335" s="4">
        <v>44691</v>
      </c>
      <c r="M3335" s="132">
        <v>4</v>
      </c>
      <c r="P3335" s="4" t="e">
        <f>VLOOKUP(H3335,Stock_list!A:Y,25,FALSE)</f>
        <v>#N/A</v>
      </c>
      <c r="Q3335" s="143"/>
      <c r="T3335" s="144"/>
      <c r="U3335" s="145" t="e">
        <f>VLOOKUP(H3335,Stock_list!A:N,14,FALSE)</f>
        <v>#N/A</v>
      </c>
    </row>
    <row r="3336" spans="1:21" ht="16.5" customHeight="1">
      <c r="A3336" s="159" t="s">
        <v>268</v>
      </c>
      <c r="B3336" s="114" t="str">
        <f>VLOOKUP(A3336,'Data pick slip'!B:F,5,FALSE)</f>
        <v>KHJ-MC700-00</v>
      </c>
      <c r="F3336" s="157" t="s">
        <v>227</v>
      </c>
      <c r="H3336" s="138">
        <v>1561</v>
      </c>
      <c r="I3336" s="139" t="e">
        <f>VLOOKUP(H3336,Stock_list!A:R,18,FALSE)</f>
        <v>#N/A</v>
      </c>
      <c r="J3336" s="139" t="e">
        <f>VLOOKUP(H3336,Stock_list!A:S,17,FALSE)</f>
        <v>#N/A</v>
      </c>
      <c r="K3336" s="51" t="e">
        <f>VLOOKUP(H3336,Stock_list!A:T,16,FALSE)</f>
        <v>#N/A</v>
      </c>
      <c r="L3336" s="4">
        <v>44691</v>
      </c>
      <c r="M3336" s="132">
        <v>4</v>
      </c>
      <c r="P3336" s="4" t="e">
        <f>VLOOKUP(H3336,Stock_list!A:Y,25,FALSE)</f>
        <v>#N/A</v>
      </c>
      <c r="Q3336" s="143"/>
      <c r="T3336" s="144"/>
      <c r="U3336" s="145" t="e">
        <f>VLOOKUP(H3336,Stock_list!A:N,14,FALSE)</f>
        <v>#N/A</v>
      </c>
    </row>
    <row r="3337" spans="1:21" ht="16.5" customHeight="1">
      <c r="A3337" s="159" t="s">
        <v>265</v>
      </c>
      <c r="B3337" s="114" t="str">
        <f>VLOOKUP(A3337,'Data pick slip'!B:F,5,FALSE)</f>
        <v>KHJ-MC400-00</v>
      </c>
      <c r="F3337" s="157" t="s">
        <v>270</v>
      </c>
      <c r="I3337" s="139" t="s">
        <v>617</v>
      </c>
      <c r="J3337" s="267" t="s">
        <v>1016</v>
      </c>
      <c r="K3337" s="51" t="s">
        <v>225</v>
      </c>
      <c r="L3337" s="4">
        <v>44586</v>
      </c>
      <c r="M3337" s="140">
        <v>4</v>
      </c>
      <c r="P3337" s="4" t="s">
        <v>214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261</v>
      </c>
      <c r="B3338" s="114" t="str">
        <f>VLOOKUP(A3338,'Data pick slip'!B:F,5,FALSE)</f>
        <v>KHJ-MC100-00</v>
      </c>
      <c r="F3338" s="157" t="s">
        <v>227</v>
      </c>
      <c r="H3338" s="138">
        <v>1567</v>
      </c>
      <c r="I3338" s="139" t="e">
        <f>VLOOKUP(H3338,Stock_list!A:R,18,FALSE)</f>
        <v>#N/A</v>
      </c>
      <c r="J3338" s="139" t="e">
        <f>VLOOKUP(H3338,Stock_list!A:S,17,FALSE)</f>
        <v>#N/A</v>
      </c>
      <c r="K3338" s="51" t="e">
        <f>VLOOKUP(H3338,Stock_list!A:T,16,FALSE)</f>
        <v>#N/A</v>
      </c>
      <c r="L3338" s="4">
        <v>44616</v>
      </c>
      <c r="M3338" s="140">
        <v>40</v>
      </c>
      <c r="P3338" s="4" t="e">
        <f>VLOOKUP(H3338,Stock_list!A:Y,25,FALSE)</f>
        <v>#N/A</v>
      </c>
      <c r="Q3338" s="143"/>
      <c r="T3338" s="144"/>
      <c r="U3338" s="145" t="e">
        <f>VLOOKUP(H3338,Stock_list!A:N,14,FALSE)</f>
        <v>#N/A</v>
      </c>
    </row>
    <row r="3339" spans="1:21" ht="16.5" customHeight="1">
      <c r="A3339" s="159" t="s">
        <v>261</v>
      </c>
      <c r="B3339" s="114" t="str">
        <f>VLOOKUP(A3339,'Data pick slip'!B:F,5,FALSE)</f>
        <v>KHJ-MC100-00</v>
      </c>
      <c r="F3339" s="157" t="s">
        <v>227</v>
      </c>
      <c r="H3339" s="138">
        <v>1567</v>
      </c>
      <c r="I3339" s="139" t="e">
        <f>VLOOKUP(H3339,Stock_list!A:R,18,FALSE)</f>
        <v>#N/A</v>
      </c>
      <c r="J3339" s="139" t="e">
        <f>VLOOKUP(H3339,Stock_list!A:S,17,FALSE)</f>
        <v>#N/A</v>
      </c>
      <c r="K3339" s="51" t="e">
        <f>VLOOKUP(H3339,Stock_list!A:T,16,FALSE)</f>
        <v>#N/A</v>
      </c>
      <c r="L3339" s="4">
        <v>44672</v>
      </c>
      <c r="M3339" s="140">
        <v>40</v>
      </c>
      <c r="P3339" s="4" t="e">
        <f>VLOOKUP(H3339,Stock_list!A:Y,25,FALSE)</f>
        <v>#N/A</v>
      </c>
      <c r="Q3339" s="143"/>
      <c r="T3339" s="144"/>
      <c r="U3339" s="145" t="e">
        <f>VLOOKUP(H3339,Stock_list!A:N,14,FALSE)</f>
        <v>#N/A</v>
      </c>
    </row>
    <row r="3340" spans="1:21" ht="16.5" customHeight="1">
      <c r="A3340" s="159" t="s">
        <v>261</v>
      </c>
      <c r="B3340" s="114" t="str">
        <f>VLOOKUP(A3340,'Data pick slip'!B:F,5,FALSE)</f>
        <v>KHJ-MC100-00</v>
      </c>
      <c r="F3340" s="157" t="s">
        <v>227</v>
      </c>
      <c r="H3340" s="138">
        <v>1574</v>
      </c>
      <c r="I3340" s="139" t="e">
        <f>VLOOKUP(H3340,Stock_list!A:R,18,FALSE)</f>
        <v>#N/A</v>
      </c>
      <c r="J3340" s="139" t="e">
        <f>VLOOKUP(H3340,Stock_list!A:S,17,FALSE)</f>
        <v>#N/A</v>
      </c>
      <c r="K3340" s="51" t="e">
        <f>VLOOKUP(H3340,Stock_list!A:T,16,FALSE)</f>
        <v>#N/A</v>
      </c>
      <c r="L3340" s="4">
        <v>44691</v>
      </c>
      <c r="M3340" s="140">
        <v>280</v>
      </c>
      <c r="P3340" s="4" t="e">
        <f>VLOOKUP(H3340,Stock_list!A:Y,25,FALSE)</f>
        <v>#N/A</v>
      </c>
      <c r="Q3340" s="143"/>
      <c r="T3340" s="144"/>
      <c r="U3340" s="145" t="e">
        <f>VLOOKUP(H3340,Stock_list!A:N,14,FALSE)</f>
        <v>#N/A</v>
      </c>
    </row>
    <row r="3341" spans="1:21" ht="16.5" customHeight="1">
      <c r="A3341" s="159" t="s">
        <v>264</v>
      </c>
      <c r="B3341" s="114" t="str">
        <f>VLOOKUP(A3341,'Data pick slip'!B:F,5,FALSE)</f>
        <v>KHJ-MC200-00</v>
      </c>
      <c r="F3341" s="157" t="s">
        <v>227</v>
      </c>
      <c r="H3341" s="138">
        <v>1574</v>
      </c>
      <c r="I3341" s="139" t="e">
        <f>VLOOKUP(H3341,Stock_list!A:R,18,FALSE)</f>
        <v>#N/A</v>
      </c>
      <c r="J3341" s="139" t="e">
        <f>VLOOKUP(H3341,Stock_list!A:S,17,FALSE)</f>
        <v>#N/A</v>
      </c>
      <c r="K3341" s="51" t="e">
        <f>VLOOKUP(H3341,Stock_list!A:T,16,FALSE)</f>
        <v>#N/A</v>
      </c>
      <c r="L3341" s="4">
        <v>44691</v>
      </c>
      <c r="M3341" s="140">
        <v>45</v>
      </c>
      <c r="P3341" s="4" t="e">
        <f>VLOOKUP(H3341,Stock_list!A:Y,25,FALSE)</f>
        <v>#N/A</v>
      </c>
      <c r="Q3341" s="143"/>
      <c r="T3341" s="144"/>
      <c r="U3341" s="145" t="e">
        <f>VLOOKUP(H3341,Stock_list!A:N,14,FALSE)</f>
        <v>#N/A</v>
      </c>
    </row>
    <row r="3342" spans="1:21" ht="16.5" customHeight="1">
      <c r="A3342" s="159" t="s">
        <v>265</v>
      </c>
      <c r="B3342" s="114" t="str">
        <f>VLOOKUP(A3342,'Data pick slip'!B:F,5,FALSE)</f>
        <v>KHJ-MC400-00</v>
      </c>
      <c r="F3342" s="157" t="s">
        <v>227</v>
      </c>
      <c r="H3342" s="138">
        <v>1574</v>
      </c>
      <c r="I3342" s="139" t="e">
        <f>VLOOKUP(H3342,Stock_list!A:R,18,FALSE)</f>
        <v>#N/A</v>
      </c>
      <c r="J3342" s="139" t="e">
        <f>VLOOKUP(H3342,Stock_list!A:S,17,FALSE)</f>
        <v>#N/A</v>
      </c>
      <c r="K3342" s="51" t="e">
        <f>VLOOKUP(H3342,Stock_list!A:T,16,FALSE)</f>
        <v>#N/A</v>
      </c>
      <c r="L3342" s="4">
        <v>44691</v>
      </c>
      <c r="M3342" s="140">
        <v>6</v>
      </c>
      <c r="P3342" s="4" t="e">
        <f>VLOOKUP(H3342,Stock_list!A:Y,25,FALSE)</f>
        <v>#N/A</v>
      </c>
      <c r="Q3342" s="143"/>
      <c r="T3342" s="144"/>
      <c r="U3342" s="145" t="e">
        <f>VLOOKUP(H3342,Stock_list!A:N,14,FALSE)</f>
        <v>#N/A</v>
      </c>
    </row>
    <row r="3343" spans="1:21" ht="16.5" customHeight="1">
      <c r="A3343" s="159" t="s">
        <v>266</v>
      </c>
      <c r="B3343" s="114" t="str">
        <f>VLOOKUP(A3343,'Data pick slip'!B:F,5,FALSE)</f>
        <v>KHJ-MC500-00</v>
      </c>
      <c r="F3343" s="157" t="s">
        <v>227</v>
      </c>
      <c r="H3343" s="138">
        <v>1574</v>
      </c>
      <c r="I3343" s="139" t="e">
        <f>VLOOKUP(H3343,Stock_list!A:R,18,FALSE)</f>
        <v>#N/A</v>
      </c>
      <c r="J3343" s="139" t="e">
        <f>VLOOKUP(H3343,Stock_list!A:S,17,FALSE)</f>
        <v>#N/A</v>
      </c>
      <c r="K3343" s="51" t="e">
        <f>VLOOKUP(H3343,Stock_list!A:T,16,FALSE)</f>
        <v>#N/A</v>
      </c>
      <c r="L3343" s="4">
        <v>44691</v>
      </c>
      <c r="M3343" s="140">
        <v>2</v>
      </c>
      <c r="P3343" s="4" t="e">
        <f>VLOOKUP(H3343,Stock_list!A:Y,25,FALSE)</f>
        <v>#N/A</v>
      </c>
      <c r="Q3343" s="143"/>
      <c r="T3343" s="144"/>
      <c r="U3343" s="145" t="e">
        <f>VLOOKUP(H3343,Stock_list!A:N,14,FALSE)</f>
        <v>#N/A</v>
      </c>
    </row>
    <row r="3344" spans="1:21" ht="16.5" customHeight="1">
      <c r="A3344" s="159" t="s">
        <v>261</v>
      </c>
      <c r="B3344" s="114" t="str">
        <f>VLOOKUP(A3344,'Data pick slip'!B:F,5,FALSE)</f>
        <v>KHJ-MC100-00</v>
      </c>
      <c r="F3344" s="157" t="s">
        <v>270</v>
      </c>
      <c r="H3344" s="138">
        <v>1578</v>
      </c>
      <c r="I3344" s="139" t="e">
        <f>VLOOKUP(H3344,Stock_list!A:R,18,FALSE)</f>
        <v>#N/A</v>
      </c>
      <c r="J3344" s="139" t="e">
        <f>VLOOKUP(H3344,Stock_list!A:S,17,FALSE)</f>
        <v>#N/A</v>
      </c>
      <c r="K3344" s="51" t="e">
        <f>VLOOKUP(H3344,Stock_list!A:T,16,FALSE)</f>
        <v>#N/A</v>
      </c>
      <c r="L3344" s="291">
        <v>44677</v>
      </c>
      <c r="M3344" s="140">
        <v>10</v>
      </c>
      <c r="P3344" s="4" t="e">
        <f>VLOOKUP(H3344,Stock_list!A:Y,25,FALSE)</f>
        <v>#N/A</v>
      </c>
      <c r="Q3344" s="143"/>
      <c r="T3344" s="144"/>
      <c r="U3344" s="145" t="e">
        <f>VLOOKUP(H3344,Stock_list!A:N,14,FALSE)</f>
        <v>#N/A</v>
      </c>
    </row>
    <row r="3345" spans="1:21" ht="16.5" customHeight="1">
      <c r="A3345" s="159" t="s">
        <v>261</v>
      </c>
      <c r="B3345" s="114" t="str">
        <f>VLOOKUP(A3345,'Data pick slip'!B:F,5,FALSE)</f>
        <v>KHJ-MC100-00</v>
      </c>
      <c r="F3345" s="157" t="s">
        <v>270</v>
      </c>
      <c r="H3345" s="138">
        <v>1569</v>
      </c>
      <c r="I3345" s="139" t="e">
        <f>VLOOKUP(H3345,Stock_list!A:R,18,FALSE)</f>
        <v>#N/A</v>
      </c>
      <c r="J3345" s="139" t="e">
        <f>VLOOKUP(H3345,Stock_list!A:S,17,FALSE)</f>
        <v>#N/A</v>
      </c>
      <c r="K3345" s="51" t="e">
        <f>VLOOKUP(H3345,Stock_list!A:T,16,FALSE)</f>
        <v>#N/A</v>
      </c>
      <c r="L3345" s="4">
        <v>44669</v>
      </c>
      <c r="M3345" s="132">
        <v>20</v>
      </c>
      <c r="P3345" s="4" t="e">
        <f>VLOOKUP(H3345,Stock_list!A:Y,25,FALSE)</f>
        <v>#N/A</v>
      </c>
      <c r="Q3345" s="143"/>
      <c r="T3345" s="144"/>
      <c r="U3345" s="145" t="e">
        <f>VLOOKUP(H3345,Stock_list!A:N,14,FALSE)</f>
        <v>#N/A</v>
      </c>
    </row>
    <row r="3346" spans="1:21" ht="16.5" customHeight="1">
      <c r="A3346" s="159" t="s">
        <v>264</v>
      </c>
      <c r="B3346" s="114" t="str">
        <f>VLOOKUP(A3346,'Data pick slip'!B:F,5,FALSE)</f>
        <v>KHJ-MC200-00</v>
      </c>
      <c r="F3346" s="157" t="s">
        <v>270</v>
      </c>
      <c r="H3346" s="138">
        <v>1569</v>
      </c>
      <c r="I3346" s="139" t="e">
        <f>VLOOKUP(H3346,Stock_list!A:R,18,FALSE)</f>
        <v>#N/A</v>
      </c>
      <c r="J3346" s="139" t="e">
        <f>VLOOKUP(H3346,Stock_list!A:S,17,FALSE)</f>
        <v>#N/A</v>
      </c>
      <c r="K3346" s="51" t="e">
        <f>VLOOKUP(H3346,Stock_list!A:T,16,FALSE)</f>
        <v>#N/A</v>
      </c>
      <c r="L3346" s="4">
        <v>44669</v>
      </c>
      <c r="M3346" s="132">
        <v>20</v>
      </c>
      <c r="P3346" s="4" t="e">
        <f>VLOOKUP(H3346,Stock_list!A:Y,25,FALSE)</f>
        <v>#N/A</v>
      </c>
      <c r="Q3346" s="143"/>
      <c r="T3346" s="144"/>
      <c r="U3346" s="145" t="e">
        <f>VLOOKUP(H3346,Stock_list!A:N,14,FALSE)</f>
        <v>#N/A</v>
      </c>
    </row>
    <row r="3347" spans="1:21" ht="16.5" customHeight="1">
      <c r="A3347" s="159" t="s">
        <v>265</v>
      </c>
      <c r="B3347" s="114" t="str">
        <f>VLOOKUP(A3347,'Data pick slip'!B:F,5,FALSE)</f>
        <v>KHJ-MC400-00</v>
      </c>
      <c r="F3347" s="157" t="s">
        <v>270</v>
      </c>
      <c r="H3347" s="138">
        <v>1569</v>
      </c>
      <c r="I3347" s="139" t="e">
        <f>VLOOKUP(H3347,Stock_list!A:R,18,FALSE)</f>
        <v>#N/A</v>
      </c>
      <c r="J3347" s="139" t="e">
        <f>VLOOKUP(H3347,Stock_list!A:S,17,FALSE)</f>
        <v>#N/A</v>
      </c>
      <c r="K3347" s="51" t="e">
        <f>VLOOKUP(H3347,Stock_list!A:T,16,FALSE)</f>
        <v>#N/A</v>
      </c>
      <c r="L3347" s="4">
        <v>44669</v>
      </c>
      <c r="M3347" s="132">
        <v>12</v>
      </c>
      <c r="P3347" s="4" t="e">
        <f>VLOOKUP(H3347,Stock_list!A:Y,25,FALSE)</f>
        <v>#N/A</v>
      </c>
      <c r="Q3347" s="143"/>
      <c r="T3347" s="144"/>
      <c r="U3347" s="145" t="e">
        <f>VLOOKUP(H3347,Stock_list!A:N,14,FALSE)</f>
        <v>#N/A</v>
      </c>
    </row>
    <row r="3348" spans="1:21" ht="16.5" customHeight="1">
      <c r="A3348" s="159" t="s">
        <v>266</v>
      </c>
      <c r="B3348" s="114" t="str">
        <f>VLOOKUP(A3348,'Data pick slip'!B:F,5,FALSE)</f>
        <v>KHJ-MC500-00</v>
      </c>
      <c r="F3348" s="157" t="s">
        <v>270</v>
      </c>
      <c r="H3348" s="138">
        <v>1569</v>
      </c>
      <c r="I3348" s="139" t="e">
        <f>VLOOKUP(H3348,Stock_list!A:R,18,FALSE)</f>
        <v>#N/A</v>
      </c>
      <c r="J3348" s="139" t="e">
        <f>VLOOKUP(H3348,Stock_list!A:S,17,FALSE)</f>
        <v>#N/A</v>
      </c>
      <c r="K3348" s="51" t="e">
        <f>VLOOKUP(H3348,Stock_list!A:T,16,FALSE)</f>
        <v>#N/A</v>
      </c>
      <c r="L3348" s="4">
        <v>44669</v>
      </c>
      <c r="M3348" s="132">
        <v>12</v>
      </c>
      <c r="P3348" s="4" t="e">
        <f>VLOOKUP(H3348,Stock_list!A:Y,25,FALSE)</f>
        <v>#N/A</v>
      </c>
      <c r="Q3348" s="143"/>
      <c r="T3348" s="144"/>
      <c r="U3348" s="145" t="e">
        <f>VLOOKUP(H3348,Stock_list!A:N,14,FALSE)</f>
        <v>#N/A</v>
      </c>
    </row>
    <row r="3349" spans="1:21" ht="16.5" customHeight="1">
      <c r="A3349" s="159" t="s">
        <v>267</v>
      </c>
      <c r="B3349" s="114" t="str">
        <f>VLOOKUP(A3349,'Data pick slip'!B:F,5,FALSE)</f>
        <v>KHJ-MC600-00</v>
      </c>
      <c r="F3349" s="157" t="s">
        <v>270</v>
      </c>
      <c r="H3349" s="138">
        <v>1569</v>
      </c>
      <c r="I3349" s="139" t="e">
        <f>VLOOKUP(H3349,Stock_list!A:R,18,FALSE)</f>
        <v>#N/A</v>
      </c>
      <c r="J3349" s="139" t="e">
        <f>VLOOKUP(H3349,Stock_list!A:S,17,FALSE)</f>
        <v>#N/A</v>
      </c>
      <c r="K3349" s="51" t="e">
        <f>VLOOKUP(H3349,Stock_list!A:T,16,FALSE)</f>
        <v>#N/A</v>
      </c>
      <c r="L3349" s="4">
        <v>44669</v>
      </c>
      <c r="M3349" s="132">
        <v>10</v>
      </c>
      <c r="P3349" s="4" t="e">
        <f>VLOOKUP(H3349,Stock_list!A:Y,25,FALSE)</f>
        <v>#N/A</v>
      </c>
      <c r="Q3349" s="143"/>
      <c r="T3349" s="144"/>
      <c r="U3349" s="145" t="e">
        <f>VLOOKUP(H3349,Stock_list!A:N,14,FALSE)</f>
        <v>#N/A</v>
      </c>
    </row>
    <row r="3350" spans="1:21" ht="16.5" customHeight="1">
      <c r="A3350" s="159" t="s">
        <v>268</v>
      </c>
      <c r="B3350" s="114" t="str">
        <f>VLOOKUP(A3350,'Data pick slip'!B:F,5,FALSE)</f>
        <v>KHJ-MC700-00</v>
      </c>
      <c r="F3350" s="157" t="s">
        <v>270</v>
      </c>
      <c r="H3350" s="138">
        <v>1569</v>
      </c>
      <c r="I3350" s="139" t="e">
        <f>VLOOKUP(H3350,Stock_list!A:R,18,FALSE)</f>
        <v>#N/A</v>
      </c>
      <c r="J3350" s="139" t="e">
        <f>VLOOKUP(H3350,Stock_list!A:S,17,FALSE)</f>
        <v>#N/A</v>
      </c>
      <c r="K3350" s="51" t="e">
        <f>VLOOKUP(H3350,Stock_list!A:T,16,FALSE)</f>
        <v>#N/A</v>
      </c>
      <c r="L3350" s="4">
        <v>44669</v>
      </c>
      <c r="M3350" s="132">
        <v>10</v>
      </c>
      <c r="P3350" s="4" t="e">
        <f>VLOOKUP(H3350,Stock_list!A:Y,25,FALSE)</f>
        <v>#N/A</v>
      </c>
      <c r="Q3350" s="143"/>
      <c r="T3350" s="144"/>
      <c r="U3350" s="145" t="e">
        <f>VLOOKUP(H3350,Stock_list!A:N,14,FALSE)</f>
        <v>#N/A</v>
      </c>
    </row>
    <row r="3351" spans="1:21" ht="16.5" customHeight="1">
      <c r="A3351" s="159" t="s">
        <v>269</v>
      </c>
      <c r="B3351" s="114" t="str">
        <f>VLOOKUP(A3351,'Data pick slip'!B:F,5,FALSE)</f>
        <v>KHJ-MC800-00</v>
      </c>
      <c r="F3351" s="157" t="s">
        <v>270</v>
      </c>
      <c r="H3351" s="138">
        <v>1569</v>
      </c>
      <c r="I3351" s="139" t="e">
        <f>VLOOKUP(H3351,Stock_list!A:R,18,FALSE)</f>
        <v>#N/A</v>
      </c>
      <c r="J3351" s="139" t="e">
        <f>VLOOKUP(H3351,Stock_list!A:S,17,FALSE)</f>
        <v>#N/A</v>
      </c>
      <c r="K3351" s="51" t="e">
        <f>VLOOKUP(H3351,Stock_list!A:T,16,FALSE)</f>
        <v>#N/A</v>
      </c>
      <c r="L3351" s="4">
        <v>44669</v>
      </c>
      <c r="M3351" s="132">
        <v>10</v>
      </c>
      <c r="P3351" s="4" t="e">
        <f>VLOOKUP(H3351,Stock_list!A:Y,25,FALSE)</f>
        <v>#N/A</v>
      </c>
      <c r="Q3351" s="143"/>
      <c r="T3351" s="144"/>
      <c r="U3351" s="145" t="e">
        <f>VLOOKUP(H3351,Stock_list!A:N,14,FALSE)</f>
        <v>#N/A</v>
      </c>
    </row>
    <row r="3352" spans="1:21" ht="16.5" customHeight="1">
      <c r="A3352" s="159" t="s">
        <v>261</v>
      </c>
      <c r="B3352" s="114" t="str">
        <f>VLOOKUP(A3352,'Data pick slip'!B:F,5,FALSE)</f>
        <v>KHJ-MC100-00</v>
      </c>
      <c r="F3352" s="157" t="s">
        <v>227</v>
      </c>
      <c r="I3352" s="139" t="s">
        <v>617</v>
      </c>
      <c r="J3352" s="139" t="s">
        <v>1017</v>
      </c>
      <c r="K3352" s="51" t="s">
        <v>225</v>
      </c>
      <c r="L3352" s="4">
        <v>44606</v>
      </c>
      <c r="M3352" s="140">
        <v>50</v>
      </c>
      <c r="P3352" s="4" t="s">
        <v>214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267</v>
      </c>
      <c r="B3353" s="114" t="str">
        <f>VLOOKUP(A3353,'Data pick slip'!B:F,5,FALSE)</f>
        <v>KHJ-MC600-00</v>
      </c>
      <c r="F3353" s="157" t="s">
        <v>227</v>
      </c>
      <c r="H3353" s="138">
        <v>1580</v>
      </c>
      <c r="I3353" s="139" t="e">
        <f>VLOOKUP(H3353,Stock_list!A:R,18,FALSE)</f>
        <v>#N/A</v>
      </c>
      <c r="J3353" s="139" t="e">
        <f>VLOOKUP(H3353,Stock_list!A:S,17,FALSE)</f>
        <v>#N/A</v>
      </c>
      <c r="K3353" s="51" t="e">
        <f>VLOOKUP(H3353,Stock_list!A:T,16,FALSE)</f>
        <v>#N/A</v>
      </c>
      <c r="L3353" s="4">
        <v>44725</v>
      </c>
      <c r="M3353" s="140">
        <v>1</v>
      </c>
      <c r="P3353" s="4" t="e">
        <f>VLOOKUP(H3353,Stock_list!A:Y,25,FALSE)</f>
        <v>#N/A</v>
      </c>
      <c r="Q3353" s="143"/>
      <c r="T3353" s="144"/>
      <c r="U3353" s="145" t="e">
        <f>VLOOKUP(H3353,Stock_list!A:N,14,FALSE)</f>
        <v>#N/A</v>
      </c>
    </row>
    <row r="3354" spans="1:21" ht="16.5" customHeight="1">
      <c r="A3354" s="159" t="s">
        <v>261</v>
      </c>
      <c r="B3354" s="114" t="str">
        <f>VLOOKUP(A3354,'Data pick slip'!B:F,5,FALSE)</f>
        <v>KHJ-MC100-00</v>
      </c>
      <c r="F3354" s="157" t="s">
        <v>227</v>
      </c>
      <c r="H3354" s="138">
        <v>1581</v>
      </c>
      <c r="I3354" s="139" t="e">
        <f>VLOOKUP(H3354,Stock_list!A:R,18,FALSE)</f>
        <v>#N/A</v>
      </c>
      <c r="J3354" s="139" t="e">
        <f>VLOOKUP(H3354,Stock_list!A:S,17,FALSE)</f>
        <v>#N/A</v>
      </c>
      <c r="K3354" s="51" t="e">
        <f>VLOOKUP(H3354,Stock_list!A:T,16,FALSE)</f>
        <v>#N/A</v>
      </c>
      <c r="L3354" s="4">
        <v>44699</v>
      </c>
      <c r="M3354" s="140">
        <v>40</v>
      </c>
      <c r="P3354" s="4" t="e">
        <f>VLOOKUP(H3354,Stock_list!A:Y,25,FALSE)</f>
        <v>#N/A</v>
      </c>
      <c r="Q3354" s="143"/>
      <c r="T3354" s="144"/>
      <c r="U3354" s="145" t="e">
        <f>VLOOKUP(H3354,Stock_list!A:N,14,FALSE)</f>
        <v>#N/A</v>
      </c>
    </row>
    <row r="3355" spans="1:21" ht="16.5" customHeight="1">
      <c r="A3355" s="159" t="s">
        <v>264</v>
      </c>
      <c r="B3355" s="114" t="str">
        <f>VLOOKUP(A3355,'Data pick slip'!B:F,5,FALSE)</f>
        <v>KHJ-MC200-00</v>
      </c>
      <c r="F3355" s="157" t="s">
        <v>227</v>
      </c>
      <c r="H3355" s="138">
        <v>1581</v>
      </c>
      <c r="I3355" s="139" t="e">
        <f>VLOOKUP(H3355,Stock_list!A:R,18,FALSE)</f>
        <v>#N/A</v>
      </c>
      <c r="J3355" s="139" t="e">
        <f>VLOOKUP(H3355,Stock_list!A:S,17,FALSE)</f>
        <v>#N/A</v>
      </c>
      <c r="K3355" s="51" t="e">
        <f>VLOOKUP(H3355,Stock_list!A:T,16,FALSE)</f>
        <v>#N/A</v>
      </c>
      <c r="L3355" s="4">
        <v>44699</v>
      </c>
      <c r="M3355" s="140">
        <v>4</v>
      </c>
      <c r="P3355" s="4" t="e">
        <f>VLOOKUP(H3355,Stock_list!A:Y,25,FALSE)</f>
        <v>#N/A</v>
      </c>
      <c r="Q3355" s="143"/>
      <c r="T3355" s="144"/>
      <c r="U3355" s="145" t="e">
        <f>VLOOKUP(H3355,Stock_list!A:N,14,FALSE)</f>
        <v>#N/A</v>
      </c>
    </row>
    <row r="3356" spans="1:21" ht="16.5" customHeight="1">
      <c r="A3356" s="159" t="s">
        <v>265</v>
      </c>
      <c r="B3356" s="114" t="str">
        <f>VLOOKUP(A3356,'Data pick slip'!B:F,5,FALSE)</f>
        <v>KHJ-MC400-00</v>
      </c>
      <c r="F3356" s="157" t="s">
        <v>227</v>
      </c>
      <c r="H3356" s="138">
        <v>1581</v>
      </c>
      <c r="I3356" s="139" t="e">
        <f>VLOOKUP(H3356,Stock_list!A:R,18,FALSE)</f>
        <v>#N/A</v>
      </c>
      <c r="J3356" s="139" t="e">
        <f>VLOOKUP(H3356,Stock_list!A:S,17,FALSE)</f>
        <v>#N/A</v>
      </c>
      <c r="K3356" s="51" t="e">
        <f>VLOOKUP(H3356,Stock_list!A:T,16,FALSE)</f>
        <v>#N/A</v>
      </c>
      <c r="L3356" s="4">
        <v>44699</v>
      </c>
      <c r="M3356" s="140">
        <v>2</v>
      </c>
      <c r="P3356" s="4" t="e">
        <f>VLOOKUP(H3356,Stock_list!A:Y,25,FALSE)</f>
        <v>#N/A</v>
      </c>
      <c r="Q3356" s="143"/>
      <c r="T3356" s="144"/>
      <c r="U3356" s="145" t="e">
        <f>VLOOKUP(H3356,Stock_list!A:N,14,FALSE)</f>
        <v>#N/A</v>
      </c>
    </row>
    <row r="3357" spans="1:21" ht="16.5" customHeight="1">
      <c r="A3357" s="159" t="s">
        <v>261</v>
      </c>
      <c r="B3357" s="114" t="str">
        <f>VLOOKUP(A3357,'Data pick slip'!B:F,5,FALSE)</f>
        <v>KHJ-MC100-00</v>
      </c>
      <c r="F3357" s="157" t="s">
        <v>227</v>
      </c>
      <c r="I3357" s="269" t="s">
        <v>931</v>
      </c>
      <c r="J3357" s="139" t="s">
        <v>1018</v>
      </c>
      <c r="K3357" s="51" t="s">
        <v>225</v>
      </c>
      <c r="L3357" s="4">
        <v>44607</v>
      </c>
      <c r="M3357" s="140">
        <v>90</v>
      </c>
      <c r="P3357" s="4" t="s">
        <v>214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265</v>
      </c>
      <c r="B3358" s="114" t="str">
        <f>VLOOKUP(A3358,'Data pick slip'!B:F,5,FALSE)</f>
        <v>KHJ-MC400-00</v>
      </c>
      <c r="F3358" s="157" t="s">
        <v>227</v>
      </c>
      <c r="I3358" s="269" t="s">
        <v>931</v>
      </c>
      <c r="J3358" s="139" t="s">
        <v>1018</v>
      </c>
      <c r="K3358" s="51" t="s">
        <v>225</v>
      </c>
      <c r="L3358" s="4">
        <v>44607</v>
      </c>
      <c r="M3358" s="140">
        <v>10</v>
      </c>
      <c r="P3358" s="4" t="s">
        <v>214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272</v>
      </c>
      <c r="B3359" s="114" t="str">
        <f>VLOOKUP(A3359,'Data pick slip'!B:F,5,FALSE)</f>
        <v>KLJ-MC100-00</v>
      </c>
      <c r="F3359" s="157" t="s">
        <v>227</v>
      </c>
      <c r="I3359" s="269" t="s">
        <v>931</v>
      </c>
      <c r="J3359" s="139" t="s">
        <v>1018</v>
      </c>
      <c r="K3359" s="51" t="s">
        <v>225</v>
      </c>
      <c r="L3359" s="4">
        <v>44607</v>
      </c>
      <c r="M3359" s="140">
        <v>60</v>
      </c>
      <c r="P3359" s="4" t="s">
        <v>214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261</v>
      </c>
      <c r="B3360" s="114" t="str">
        <f>VLOOKUP(A3360,'Data pick slip'!B:F,5,FALSE)</f>
        <v>KHJ-MC100-00</v>
      </c>
      <c r="F3360" s="157" t="s">
        <v>227</v>
      </c>
      <c r="H3360" s="138">
        <v>1583</v>
      </c>
      <c r="I3360" s="139" t="e">
        <f>VLOOKUP(H3360,Stock_list!A:R,18,FALSE)</f>
        <v>#N/A</v>
      </c>
      <c r="J3360" s="139" t="e">
        <f>VLOOKUP(H3360,Stock_list!A:S,17,FALSE)</f>
        <v>#N/A</v>
      </c>
      <c r="K3360" s="51" t="e">
        <f>VLOOKUP(H3360,Stock_list!A:T,16,FALSE)</f>
        <v>#N/A</v>
      </c>
      <c r="L3360" s="4">
        <v>44746</v>
      </c>
      <c r="M3360" s="132">
        <v>35</v>
      </c>
      <c r="P3360" s="4" t="e">
        <f>VLOOKUP(H3360,Stock_list!A:Y,25,FALSE)</f>
        <v>#N/A</v>
      </c>
      <c r="Q3360" s="143"/>
      <c r="T3360" s="144"/>
      <c r="U3360" s="145"/>
    </row>
    <row r="3361" spans="1:21" ht="16.5" customHeight="1">
      <c r="A3361" s="159" t="s">
        <v>264</v>
      </c>
      <c r="B3361" s="114" t="str">
        <f>VLOOKUP(A3361,'Data pick slip'!B:F,5,FALSE)</f>
        <v>KHJ-MC200-00</v>
      </c>
      <c r="F3361" s="157" t="s">
        <v>227</v>
      </c>
      <c r="H3361" s="138">
        <v>1583</v>
      </c>
      <c r="I3361" s="139" t="e">
        <f>VLOOKUP(H3361,Stock_list!A:R,18,FALSE)</f>
        <v>#N/A</v>
      </c>
      <c r="J3361" s="139" t="e">
        <f>VLOOKUP(H3361,Stock_list!A:S,17,FALSE)</f>
        <v>#N/A</v>
      </c>
      <c r="K3361" s="51" t="e">
        <f>VLOOKUP(H3361,Stock_list!A:T,16,FALSE)</f>
        <v>#N/A</v>
      </c>
      <c r="L3361" s="4">
        <v>44746</v>
      </c>
      <c r="M3361" s="132">
        <v>10</v>
      </c>
      <c r="P3361" s="4" t="e">
        <f>VLOOKUP(H3361,Stock_list!A:Y,25,FALSE)</f>
        <v>#N/A</v>
      </c>
      <c r="Q3361" s="143"/>
      <c r="T3361" s="144"/>
      <c r="U3361" s="145"/>
    </row>
    <row r="3362" spans="1:21" ht="16.5" customHeight="1">
      <c r="A3362" s="159" t="s">
        <v>265</v>
      </c>
      <c r="B3362" s="114" t="str">
        <f>VLOOKUP(A3362,'Data pick slip'!B:F,5,FALSE)</f>
        <v>KHJ-MC400-00</v>
      </c>
      <c r="F3362" s="157" t="s">
        <v>227</v>
      </c>
      <c r="H3362" s="138">
        <v>1583</v>
      </c>
      <c r="I3362" s="139" t="e">
        <f>VLOOKUP(H3362,Stock_list!A:R,18,FALSE)</f>
        <v>#N/A</v>
      </c>
      <c r="J3362" s="139" t="e">
        <f>VLOOKUP(H3362,Stock_list!A:S,17,FALSE)</f>
        <v>#N/A</v>
      </c>
      <c r="K3362" s="51" t="e">
        <f>VLOOKUP(H3362,Stock_list!A:T,16,FALSE)</f>
        <v>#N/A</v>
      </c>
      <c r="L3362" s="4">
        <v>44746</v>
      </c>
      <c r="M3362" s="132">
        <v>2</v>
      </c>
      <c r="P3362" s="4" t="e">
        <f>VLOOKUP(H3362,Stock_list!A:Y,25,FALSE)</f>
        <v>#N/A</v>
      </c>
      <c r="Q3362" s="143"/>
      <c r="T3362" s="144"/>
      <c r="U3362" s="145"/>
    </row>
    <row r="3363" spans="1:21" ht="16.5" customHeight="1">
      <c r="A3363" s="159" t="s">
        <v>266</v>
      </c>
      <c r="B3363" s="114" t="str">
        <f>VLOOKUP(A3363,'Data pick slip'!B:F,5,FALSE)</f>
        <v>KHJ-MC500-00</v>
      </c>
      <c r="F3363" s="157" t="s">
        <v>227</v>
      </c>
      <c r="H3363" s="138">
        <v>1583</v>
      </c>
      <c r="I3363" s="139" t="e">
        <f>VLOOKUP(H3363,Stock_list!A:R,18,FALSE)</f>
        <v>#N/A</v>
      </c>
      <c r="J3363" s="139" t="e">
        <f>VLOOKUP(H3363,Stock_list!A:S,17,FALSE)</f>
        <v>#N/A</v>
      </c>
      <c r="K3363" s="51" t="e">
        <f>VLOOKUP(H3363,Stock_list!A:T,16,FALSE)</f>
        <v>#N/A</v>
      </c>
      <c r="L3363" s="4">
        <v>44746</v>
      </c>
      <c r="M3363" s="132">
        <v>1</v>
      </c>
      <c r="P3363" s="4" t="e">
        <f>VLOOKUP(H3363,Stock_list!A:Y,25,FALSE)</f>
        <v>#N/A</v>
      </c>
      <c r="Q3363" s="143"/>
      <c r="T3363" s="144"/>
      <c r="U3363" s="145"/>
    </row>
    <row r="3364" spans="1:21" ht="16.5" customHeight="1">
      <c r="A3364" s="159" t="s">
        <v>261</v>
      </c>
      <c r="B3364" s="114" t="str">
        <f>VLOOKUP(A3364,'Data pick slip'!B:F,5,FALSE)</f>
        <v>KHJ-MC100-00</v>
      </c>
      <c r="F3364" s="157" t="s">
        <v>227</v>
      </c>
      <c r="H3364" s="138">
        <v>1585</v>
      </c>
      <c r="I3364" s="139" t="e">
        <f>VLOOKUP(H3364,Stock_list!A:R,18,FALSE)</f>
        <v>#N/A</v>
      </c>
      <c r="J3364" s="139" t="e">
        <f>VLOOKUP(H3364,Stock_list!A:S,17,FALSE)</f>
        <v>#N/A</v>
      </c>
      <c r="K3364" s="51" t="e">
        <f>VLOOKUP(H3364,Stock_list!A:T,16,FALSE)</f>
        <v>#N/A</v>
      </c>
      <c r="L3364" s="4">
        <v>44692</v>
      </c>
      <c r="M3364" s="140">
        <f>300+47</f>
        <v>347</v>
      </c>
      <c r="P3364" s="4" t="e">
        <f>VLOOKUP(H3364,Stock_list!A:Y,25,FALSE)</f>
        <v>#N/A</v>
      </c>
      <c r="Q3364" s="143"/>
      <c r="T3364" s="144"/>
      <c r="U3364" s="145" t="e">
        <f>VLOOKUP(H3364,Stock_list!A:N,14,FALSE)</f>
        <v>#N/A</v>
      </c>
    </row>
    <row r="3365" spans="1:21" ht="16.5" customHeight="1">
      <c r="A3365" s="159" t="s">
        <v>264</v>
      </c>
      <c r="B3365" s="114" t="str">
        <f>VLOOKUP(A3365,'Data pick slip'!B:F,5,FALSE)</f>
        <v>KHJ-MC200-00</v>
      </c>
      <c r="F3365" s="157" t="s">
        <v>227</v>
      </c>
      <c r="H3365" s="138">
        <v>1585</v>
      </c>
      <c r="I3365" s="139" t="e">
        <f>VLOOKUP(H3365,Stock_list!A:R,18,FALSE)</f>
        <v>#N/A</v>
      </c>
      <c r="J3365" s="139" t="e">
        <f>VLOOKUP(H3365,Stock_list!A:S,17,FALSE)</f>
        <v>#N/A</v>
      </c>
      <c r="K3365" s="51" t="e">
        <f>VLOOKUP(H3365,Stock_list!A:T,16,FALSE)</f>
        <v>#N/A</v>
      </c>
      <c r="L3365" s="4">
        <v>44692</v>
      </c>
      <c r="M3365" s="140">
        <f>100+50</f>
        <v>150</v>
      </c>
      <c r="P3365" s="4" t="e">
        <f>VLOOKUP(H3365,Stock_list!A:Y,25,FALSE)</f>
        <v>#N/A</v>
      </c>
      <c r="Q3365" s="143"/>
      <c r="T3365" s="144"/>
      <c r="U3365" s="145" t="e">
        <f>VLOOKUP(H3365,Stock_list!A:N,14,FALSE)</f>
        <v>#N/A</v>
      </c>
    </row>
    <row r="3366" spans="1:21" ht="16.5" customHeight="1">
      <c r="A3366" s="159" t="s">
        <v>265</v>
      </c>
      <c r="B3366" s="114" t="str">
        <f>VLOOKUP(A3366,'Data pick slip'!B:F,5,FALSE)</f>
        <v>KHJ-MC400-00</v>
      </c>
      <c r="F3366" s="157" t="s">
        <v>227</v>
      </c>
      <c r="H3366" s="138">
        <v>1585</v>
      </c>
      <c r="I3366" s="139" t="e">
        <f>VLOOKUP(H3366,Stock_list!A:R,18,FALSE)</f>
        <v>#N/A</v>
      </c>
      <c r="J3366" s="139" t="e">
        <f>VLOOKUP(H3366,Stock_list!A:S,17,FALSE)</f>
        <v>#N/A</v>
      </c>
      <c r="K3366" s="51" t="e">
        <f>VLOOKUP(H3366,Stock_list!A:T,16,FALSE)</f>
        <v>#N/A</v>
      </c>
      <c r="L3366" s="4">
        <v>44692</v>
      </c>
      <c r="M3366" s="140">
        <v>40</v>
      </c>
      <c r="P3366" s="4" t="e">
        <f>VLOOKUP(H3366,Stock_list!A:Y,25,FALSE)</f>
        <v>#N/A</v>
      </c>
      <c r="Q3366" s="143"/>
      <c r="T3366" s="144"/>
      <c r="U3366" s="145" t="e">
        <f>VLOOKUP(H3366,Stock_list!A:N,14,FALSE)</f>
        <v>#N/A</v>
      </c>
    </row>
    <row r="3367" spans="1:21" ht="16.5" customHeight="1">
      <c r="A3367" s="159" t="s">
        <v>266</v>
      </c>
      <c r="B3367" s="114" t="str">
        <f>VLOOKUP(A3367,'Data pick slip'!B:F,5,FALSE)</f>
        <v>KHJ-MC500-00</v>
      </c>
      <c r="F3367" s="157" t="s">
        <v>227</v>
      </c>
      <c r="H3367" s="138">
        <v>1585</v>
      </c>
      <c r="I3367" s="139" t="e">
        <f>VLOOKUP(H3367,Stock_list!A:R,18,FALSE)</f>
        <v>#N/A</v>
      </c>
      <c r="J3367" s="139" t="e">
        <f>VLOOKUP(H3367,Stock_list!A:S,17,FALSE)</f>
        <v>#N/A</v>
      </c>
      <c r="K3367" s="51" t="e">
        <f>VLOOKUP(H3367,Stock_list!A:T,16,FALSE)</f>
        <v>#N/A</v>
      </c>
      <c r="L3367" s="4">
        <v>44692</v>
      </c>
      <c r="M3367" s="140">
        <v>13</v>
      </c>
      <c r="P3367" s="4" t="e">
        <f>VLOOKUP(H3367,Stock_list!A:Y,25,FALSE)</f>
        <v>#N/A</v>
      </c>
      <c r="Q3367" s="143"/>
      <c r="T3367" s="144"/>
      <c r="U3367" s="145" t="e">
        <f>VLOOKUP(H3367,Stock_list!A:N,14,FALSE)</f>
        <v>#N/A</v>
      </c>
    </row>
    <row r="3368" spans="1:21" ht="16.5" customHeight="1">
      <c r="A3368" s="159" t="s">
        <v>267</v>
      </c>
      <c r="B3368" s="114" t="str">
        <f>VLOOKUP(A3368,'Data pick slip'!B:F,5,FALSE)</f>
        <v>KHJ-MC600-00</v>
      </c>
      <c r="F3368" s="157" t="s">
        <v>227</v>
      </c>
      <c r="H3368" s="138">
        <v>1585</v>
      </c>
      <c r="I3368" s="139" t="e">
        <f>VLOOKUP(H3368,Stock_list!A:R,18,FALSE)</f>
        <v>#N/A</v>
      </c>
      <c r="J3368" s="139" t="e">
        <f>VLOOKUP(H3368,Stock_list!A:S,17,FALSE)</f>
        <v>#N/A</v>
      </c>
      <c r="K3368" s="51" t="e">
        <f>VLOOKUP(H3368,Stock_list!A:T,16,FALSE)</f>
        <v>#N/A</v>
      </c>
      <c r="L3368" s="4">
        <v>44692</v>
      </c>
      <c r="M3368" s="140">
        <v>7</v>
      </c>
      <c r="P3368" s="4" t="e">
        <f>VLOOKUP(H3368,Stock_list!A:Y,25,FALSE)</f>
        <v>#N/A</v>
      </c>
      <c r="Q3368" s="143"/>
      <c r="T3368" s="144"/>
      <c r="U3368" s="145" t="e">
        <f>VLOOKUP(H3368,Stock_list!A:N,14,FALSE)</f>
        <v>#N/A</v>
      </c>
    </row>
    <row r="3369" spans="1:21" ht="25.5" customHeight="1">
      <c r="A3369" s="159" t="s">
        <v>265</v>
      </c>
      <c r="B3369" s="114" t="str">
        <f>VLOOKUP(A3369,'Data pick slip'!B:F,5,FALSE)</f>
        <v>KHJ-MC400-00</v>
      </c>
      <c r="F3369" s="157" t="s">
        <v>270</v>
      </c>
      <c r="I3369" s="139" t="s">
        <v>617</v>
      </c>
      <c r="J3369" s="267" t="s">
        <v>1019</v>
      </c>
      <c r="K3369" s="51" t="s">
        <v>225</v>
      </c>
      <c r="L3369" s="4">
        <v>44616</v>
      </c>
      <c r="M3369" s="140">
        <v>3</v>
      </c>
      <c r="P3369" s="4" t="s">
        <v>214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261</v>
      </c>
      <c r="B3370" s="114" t="str">
        <f>VLOOKUP(A3370,'Data pick slip'!B:F,5,FALSE)</f>
        <v>KHJ-MC100-00</v>
      </c>
      <c r="F3370" s="157" t="s">
        <v>227</v>
      </c>
      <c r="H3370" s="138">
        <v>1597</v>
      </c>
      <c r="I3370" s="139" t="e">
        <f>VLOOKUP(H3370,Stock_list!A:R,18,FALSE)</f>
        <v>#N/A</v>
      </c>
      <c r="J3370" s="139" t="e">
        <f>VLOOKUP(H3370,Stock_list!A:S,17,FALSE)</f>
        <v>#N/A</v>
      </c>
      <c r="K3370" s="51" t="e">
        <f>VLOOKUP(H3370,Stock_list!A:T,16,FALSE)</f>
        <v>#N/A</v>
      </c>
      <c r="L3370" s="4">
        <v>44725</v>
      </c>
      <c r="M3370" s="140">
        <v>42</v>
      </c>
      <c r="P3370" s="4" t="e">
        <f>VLOOKUP(H3370,Stock_list!A:Y,25,FALSE)</f>
        <v>#N/A</v>
      </c>
      <c r="Q3370" s="143"/>
      <c r="T3370" s="144"/>
      <c r="U3370" s="145" t="e">
        <f>VLOOKUP(H3370,Stock_list!A:N,14,FALSE)</f>
        <v>#N/A</v>
      </c>
    </row>
    <row r="3371" spans="1:21" ht="16.5" customHeight="1">
      <c r="A3371" s="159" t="s">
        <v>265</v>
      </c>
      <c r="B3371" s="114" t="str">
        <f>VLOOKUP(A3371,'Data pick slip'!B:F,5,FALSE)</f>
        <v>KHJ-MC400-00</v>
      </c>
      <c r="F3371" s="157" t="s">
        <v>227</v>
      </c>
      <c r="H3371" s="138">
        <v>1597</v>
      </c>
      <c r="I3371" s="139" t="e">
        <f>VLOOKUP(H3371,Stock_list!A:R,18,FALSE)</f>
        <v>#N/A</v>
      </c>
      <c r="J3371" s="139" t="e">
        <f>VLOOKUP(H3371,Stock_list!A:S,17,FALSE)</f>
        <v>#N/A</v>
      </c>
      <c r="K3371" s="51" t="e">
        <f>VLOOKUP(H3371,Stock_list!A:T,16,FALSE)</f>
        <v>#N/A</v>
      </c>
      <c r="L3371" s="4">
        <v>44725</v>
      </c>
      <c r="M3371" s="140">
        <v>2</v>
      </c>
      <c r="P3371" s="4" t="e">
        <f>VLOOKUP(H3371,Stock_list!A:Y,25,FALSE)</f>
        <v>#N/A</v>
      </c>
      <c r="Q3371" s="143"/>
      <c r="T3371" s="144"/>
      <c r="U3371" s="145" t="e">
        <f>VLOOKUP(H3371,Stock_list!A:N,14,FALSE)</f>
        <v>#N/A</v>
      </c>
    </row>
    <row r="3372" spans="1:21" ht="16.5" customHeight="1">
      <c r="A3372" s="159" t="s">
        <v>272</v>
      </c>
      <c r="B3372" s="114" t="str">
        <f>VLOOKUP(A3372,'Data pick slip'!B:F,5,FALSE)</f>
        <v>KLJ-MC100-00</v>
      </c>
      <c r="F3372" s="157" t="s">
        <v>270</v>
      </c>
      <c r="H3372" s="138">
        <v>1598</v>
      </c>
      <c r="I3372" s="139" t="e">
        <f>VLOOKUP(H3372,Stock_list!A:R,18,FALSE)</f>
        <v>#N/A</v>
      </c>
      <c r="J3372" s="139" t="e">
        <f>VLOOKUP(H3372,Stock_list!A:S,17,FALSE)</f>
        <v>#N/A</v>
      </c>
      <c r="K3372" s="51" t="e">
        <f>VLOOKUP(H3372,Stock_list!A:T,16,FALSE)</f>
        <v>#N/A</v>
      </c>
      <c r="L3372" s="4">
        <v>44625</v>
      </c>
      <c r="M3372" s="140">
        <v>4</v>
      </c>
      <c r="P3372" s="4" t="e">
        <f>VLOOKUP(H3372,Stock_list!A:Y,25,FALSE)</f>
        <v>#N/A</v>
      </c>
      <c r="Q3372" s="143"/>
      <c r="T3372" s="144"/>
      <c r="U3372" s="145" t="e">
        <f>VLOOKUP(H3372,Stock_list!A:N,14,FALSE)</f>
        <v>#N/A</v>
      </c>
    </row>
    <row r="3373" spans="1:21" ht="16.5" customHeight="1">
      <c r="A3373" s="159" t="s">
        <v>272</v>
      </c>
      <c r="B3373" s="114" t="str">
        <f>VLOOKUP(A3373,'Data pick slip'!B:F,5,FALSE)</f>
        <v>KLJ-MC100-00</v>
      </c>
      <c r="F3373" s="157" t="s">
        <v>270</v>
      </c>
      <c r="H3373" s="138">
        <v>1598</v>
      </c>
      <c r="I3373" s="139" t="e">
        <f>VLOOKUP(H3373,Stock_list!A:R,18,FALSE)</f>
        <v>#N/A</v>
      </c>
      <c r="J3373" s="139" t="e">
        <f>VLOOKUP(H3373,Stock_list!A:S,17,FALSE)</f>
        <v>#N/A</v>
      </c>
      <c r="K3373" s="51" t="e">
        <f>VLOOKUP(H3373,Stock_list!A:T,16,FALSE)</f>
        <v>#N/A</v>
      </c>
      <c r="L3373" s="4">
        <v>44638</v>
      </c>
      <c r="M3373" s="140">
        <v>21</v>
      </c>
      <c r="P3373" s="4" t="e">
        <f>VLOOKUP(H3373,Stock_list!A:Y,25,FALSE)</f>
        <v>#N/A</v>
      </c>
      <c r="Q3373" s="143"/>
      <c r="T3373" s="144"/>
      <c r="U3373" s="145" t="e">
        <f>VLOOKUP(H3373,Stock_list!A:N,14,FALSE)</f>
        <v>#N/A</v>
      </c>
    </row>
    <row r="3374" spans="1:21" ht="16.5" customHeight="1">
      <c r="A3374" s="159" t="s">
        <v>273</v>
      </c>
      <c r="B3374" s="114" t="str">
        <f>VLOOKUP(A3374,'Data pick slip'!B:F,5,FALSE)</f>
        <v>KLJ-MC200-00</v>
      </c>
      <c r="F3374" s="157" t="s">
        <v>270</v>
      </c>
      <c r="H3374" s="138">
        <v>1598</v>
      </c>
      <c r="I3374" s="139" t="e">
        <f>VLOOKUP(H3374,Stock_list!A:R,18,FALSE)</f>
        <v>#N/A</v>
      </c>
      <c r="J3374" s="139" t="e">
        <f>VLOOKUP(H3374,Stock_list!A:S,17,FALSE)</f>
        <v>#N/A</v>
      </c>
      <c r="K3374" s="51" t="e">
        <f>VLOOKUP(H3374,Stock_list!A:T,16,FALSE)</f>
        <v>#N/A</v>
      </c>
      <c r="L3374" s="4">
        <v>44638</v>
      </c>
      <c r="M3374" s="140">
        <v>6</v>
      </c>
      <c r="P3374" s="4" t="e">
        <f>VLOOKUP(H3374,Stock_list!A:Y,25,FALSE)</f>
        <v>#N/A</v>
      </c>
      <c r="Q3374" s="143"/>
      <c r="T3374" s="144"/>
      <c r="U3374" s="145" t="e">
        <f>VLOOKUP(H3374,Stock_list!A:N,14,FALSE)</f>
        <v>#N/A</v>
      </c>
    </row>
    <row r="3375" spans="1:21" ht="16.5" customHeight="1">
      <c r="A3375" s="159" t="s">
        <v>274</v>
      </c>
      <c r="B3375" s="114" t="str">
        <f>VLOOKUP(A3375,'Data pick slip'!B:F,5,FALSE)</f>
        <v>KLJ-MC400-00</v>
      </c>
      <c r="F3375" s="157" t="s">
        <v>270</v>
      </c>
      <c r="H3375" s="138">
        <v>1598</v>
      </c>
      <c r="I3375" s="139" t="e">
        <f>VLOOKUP(H3375,Stock_list!A:R,18,FALSE)</f>
        <v>#N/A</v>
      </c>
      <c r="J3375" s="139" t="e">
        <f>VLOOKUP(H3375,Stock_list!A:S,17,FALSE)</f>
        <v>#N/A</v>
      </c>
      <c r="K3375" s="51" t="e">
        <f>VLOOKUP(H3375,Stock_list!A:T,16,FALSE)</f>
        <v>#N/A</v>
      </c>
      <c r="L3375" s="4">
        <v>44638</v>
      </c>
      <c r="M3375" s="140">
        <v>2</v>
      </c>
      <c r="P3375" s="4" t="e">
        <f>VLOOKUP(H3375,Stock_list!A:Y,25,FALSE)</f>
        <v>#N/A</v>
      </c>
      <c r="Q3375" s="143"/>
      <c r="T3375" s="144"/>
      <c r="U3375" s="145" t="e">
        <f>VLOOKUP(H3375,Stock_list!A:N,14,FALSE)</f>
        <v>#N/A</v>
      </c>
    </row>
    <row r="3376" spans="1:21" ht="16.5" customHeight="1">
      <c r="A3376" s="159" t="s">
        <v>261</v>
      </c>
      <c r="B3376" s="114" t="str">
        <f>VLOOKUP(A3376,'Data pick slip'!B:F,5,FALSE)</f>
        <v>KHJ-MC100-00</v>
      </c>
      <c r="F3376" s="157" t="s">
        <v>270</v>
      </c>
      <c r="I3376" s="139" t="s">
        <v>611</v>
      </c>
      <c r="J3376" s="267" t="s">
        <v>1020</v>
      </c>
      <c r="K3376" s="51" t="s">
        <v>225</v>
      </c>
      <c r="L3376" s="4">
        <v>44621</v>
      </c>
      <c r="M3376" s="140">
        <v>1</v>
      </c>
      <c r="P3376" s="4" t="s">
        <v>214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261</v>
      </c>
      <c r="B3377" s="114" t="str">
        <f>VLOOKUP(A3377,'Data pick slip'!B:F,5,FALSE)</f>
        <v>KHJ-MC100-00</v>
      </c>
      <c r="F3377" s="157" t="s">
        <v>227</v>
      </c>
      <c r="H3377" s="138">
        <v>1599</v>
      </c>
      <c r="I3377" s="139" t="e">
        <f>VLOOKUP(H3377,Stock_list!A:R,18,FALSE)</f>
        <v>#N/A</v>
      </c>
      <c r="J3377" s="139" t="e">
        <f>VLOOKUP(H3377,Stock_list!A:S,17,FALSE)</f>
        <v>#N/A</v>
      </c>
      <c r="K3377" s="51" t="e">
        <f>VLOOKUP(H3377,Stock_list!A:T,16,FALSE)</f>
        <v>#N/A</v>
      </c>
      <c r="L3377" s="4">
        <v>44644</v>
      </c>
      <c r="M3377" s="140">
        <v>20</v>
      </c>
      <c r="P3377" s="4" t="e">
        <f>VLOOKUP(H3377,Stock_list!A:Y,25,FALSE)</f>
        <v>#N/A</v>
      </c>
      <c r="Q3377" s="143"/>
      <c r="T3377" s="144"/>
      <c r="U3377" s="145" t="e">
        <f>VLOOKUP(H3377,Stock_list!A:N,14,FALSE)</f>
        <v>#N/A</v>
      </c>
    </row>
    <row r="3378" spans="1:21" ht="16.5" customHeight="1">
      <c r="A3378" s="159" t="s">
        <v>264</v>
      </c>
      <c r="B3378" s="114" t="str">
        <f>VLOOKUP(A3378,'Data pick slip'!B:F,5,FALSE)</f>
        <v>KHJ-MC200-00</v>
      </c>
      <c r="F3378" s="157" t="s">
        <v>227</v>
      </c>
      <c r="H3378" s="138">
        <v>1599</v>
      </c>
      <c r="I3378" s="139" t="e">
        <f>VLOOKUP(H3378,Stock_list!A:R,18,FALSE)</f>
        <v>#N/A</v>
      </c>
      <c r="J3378" s="139" t="e">
        <f>VLOOKUP(H3378,Stock_list!A:S,17,FALSE)</f>
        <v>#N/A</v>
      </c>
      <c r="K3378" s="51" t="e">
        <f>VLOOKUP(H3378,Stock_list!A:T,16,FALSE)</f>
        <v>#N/A</v>
      </c>
      <c r="L3378" s="4">
        <v>44644</v>
      </c>
      <c r="M3378" s="140">
        <v>3</v>
      </c>
      <c r="P3378" s="4" t="e">
        <f>VLOOKUP(H3378,Stock_list!A:Y,25,FALSE)</f>
        <v>#N/A</v>
      </c>
      <c r="Q3378" s="143"/>
      <c r="T3378" s="144"/>
      <c r="U3378" s="145" t="e">
        <f>VLOOKUP(H3378,Stock_list!A:N,14,FALSE)</f>
        <v>#N/A</v>
      </c>
    </row>
    <row r="3379" spans="1:21" ht="16.5" customHeight="1">
      <c r="A3379" s="159" t="s">
        <v>261</v>
      </c>
      <c r="B3379" s="114" t="str">
        <f>VLOOKUP(A3379,'Data pick slip'!B:F,5,FALSE)</f>
        <v>KHJ-MC100-00</v>
      </c>
      <c r="F3379" s="157" t="s">
        <v>227</v>
      </c>
      <c r="H3379" s="138">
        <v>1600</v>
      </c>
      <c r="I3379" s="139" t="e">
        <f>VLOOKUP(H3379,Stock_list!A:R,18,FALSE)</f>
        <v>#N/A</v>
      </c>
      <c r="J3379" s="139" t="e">
        <f>VLOOKUP(H3379,Stock_list!A:S,17,FALSE)</f>
        <v>#N/A</v>
      </c>
      <c r="K3379" s="51" t="e">
        <f>VLOOKUP(H3379,Stock_list!A:T,16,FALSE)</f>
        <v>#N/A</v>
      </c>
      <c r="L3379" s="4">
        <v>44748</v>
      </c>
      <c r="M3379" s="132">
        <v>100</v>
      </c>
      <c r="P3379" s="4" t="e">
        <f>VLOOKUP(H3379,Stock_list!A:Y,25,FALSE)</f>
        <v>#N/A</v>
      </c>
      <c r="Q3379" s="143"/>
      <c r="T3379" s="144"/>
      <c r="U3379" s="145" t="e">
        <f>VLOOKUP(H3379,Stock_list!A:N,14,FALSE)</f>
        <v>#N/A</v>
      </c>
    </row>
    <row r="3380" spans="1:21" ht="16.5" customHeight="1">
      <c r="A3380" s="159" t="s">
        <v>264</v>
      </c>
      <c r="B3380" s="114" t="str">
        <f>VLOOKUP(A3380,'Data pick slip'!B:F,5,FALSE)</f>
        <v>KHJ-MC200-00</v>
      </c>
      <c r="F3380" s="157" t="s">
        <v>227</v>
      </c>
      <c r="H3380" s="138">
        <v>1600</v>
      </c>
      <c r="I3380" s="139" t="e">
        <f>VLOOKUP(H3380,Stock_list!A:R,18,FALSE)</f>
        <v>#N/A</v>
      </c>
      <c r="J3380" s="139" t="e">
        <f>VLOOKUP(H3380,Stock_list!A:S,17,FALSE)</f>
        <v>#N/A</v>
      </c>
      <c r="K3380" s="51" t="e">
        <f>VLOOKUP(H3380,Stock_list!A:T,16,FALSE)</f>
        <v>#N/A</v>
      </c>
      <c r="L3380" s="4">
        <v>44748</v>
      </c>
      <c r="M3380" s="132">
        <v>6</v>
      </c>
      <c r="P3380" s="4" t="e">
        <f>VLOOKUP(H3380,Stock_list!A:Y,25,FALSE)</f>
        <v>#N/A</v>
      </c>
      <c r="Q3380" s="143"/>
      <c r="T3380" s="144"/>
      <c r="U3380" s="145" t="e">
        <f>VLOOKUP(H3380,Stock_list!A:N,14,FALSE)</f>
        <v>#N/A</v>
      </c>
    </row>
    <row r="3381" spans="1:21" ht="16.5" customHeight="1">
      <c r="A3381" s="159" t="s">
        <v>261</v>
      </c>
      <c r="B3381" s="114" t="str">
        <f>VLOOKUP(A3381,'Data pick slip'!B:F,5,FALSE)</f>
        <v>KHJ-MC100-00</v>
      </c>
      <c r="F3381" s="157" t="s">
        <v>227</v>
      </c>
      <c r="H3381" s="138">
        <v>1601</v>
      </c>
      <c r="I3381" s="139" t="e">
        <f>VLOOKUP(H3381,Stock_list!A:R,18,FALSE)</f>
        <v>#N/A</v>
      </c>
      <c r="J3381" s="139" t="e">
        <f>VLOOKUP(H3381,Stock_list!A:S,17,FALSE)</f>
        <v>#N/A</v>
      </c>
      <c r="K3381" s="51" t="e">
        <f>VLOOKUP(H3381,Stock_list!A:T,16,FALSE)</f>
        <v>#N/A</v>
      </c>
      <c r="L3381" s="4">
        <v>44729</v>
      </c>
      <c r="M3381" s="132">
        <v>59</v>
      </c>
      <c r="P3381" s="4" t="e">
        <f>VLOOKUP(H3381,Stock_list!A:Y,25,FALSE)</f>
        <v>#N/A</v>
      </c>
      <c r="Q3381" s="143"/>
      <c r="T3381" s="144"/>
      <c r="U3381" s="145" t="e">
        <f>VLOOKUP(H3381,Stock_list!A:N,14,FALSE)</f>
        <v>#N/A</v>
      </c>
    </row>
    <row r="3382" spans="1:21" ht="16.5" customHeight="1">
      <c r="A3382" s="159" t="s">
        <v>264</v>
      </c>
      <c r="B3382" s="114" t="str">
        <f>VLOOKUP(A3382,'Data pick slip'!B:F,5,FALSE)</f>
        <v>KHJ-MC200-00</v>
      </c>
      <c r="F3382" s="157" t="s">
        <v>227</v>
      </c>
      <c r="H3382" s="138">
        <v>1601</v>
      </c>
      <c r="I3382" s="139" t="e">
        <f>VLOOKUP(H3382,Stock_list!A:R,18,FALSE)</f>
        <v>#N/A</v>
      </c>
      <c r="J3382" s="139" t="e">
        <f>VLOOKUP(H3382,Stock_list!A:S,17,FALSE)</f>
        <v>#N/A</v>
      </c>
      <c r="K3382" s="51" t="e">
        <f>VLOOKUP(H3382,Stock_list!A:T,16,FALSE)</f>
        <v>#N/A</v>
      </c>
      <c r="L3382" s="4">
        <v>44729</v>
      </c>
      <c r="M3382" s="132">
        <v>20</v>
      </c>
      <c r="P3382" s="4" t="e">
        <f>VLOOKUP(H3382,Stock_list!A:Y,25,FALSE)</f>
        <v>#N/A</v>
      </c>
      <c r="Q3382" s="143"/>
      <c r="T3382" s="144"/>
      <c r="U3382" s="145" t="e">
        <f>VLOOKUP(H3382,Stock_list!A:N,14,FALSE)</f>
        <v>#N/A</v>
      </c>
    </row>
    <row r="3383" spans="1:21" ht="16.5" customHeight="1">
      <c r="A3383" s="159" t="s">
        <v>265</v>
      </c>
      <c r="B3383" s="114" t="str">
        <f>VLOOKUP(A3383,'Data pick slip'!B:F,5,FALSE)</f>
        <v>KHJ-MC400-00</v>
      </c>
      <c r="F3383" s="157" t="s">
        <v>227</v>
      </c>
      <c r="H3383" s="138">
        <v>1601</v>
      </c>
      <c r="I3383" s="139" t="e">
        <f>VLOOKUP(H3383,Stock_list!A:R,18,FALSE)</f>
        <v>#N/A</v>
      </c>
      <c r="J3383" s="139" t="e">
        <f>VLOOKUP(H3383,Stock_list!A:S,17,FALSE)</f>
        <v>#N/A</v>
      </c>
      <c r="K3383" s="51" t="e">
        <f>VLOOKUP(H3383,Stock_list!A:T,16,FALSE)</f>
        <v>#N/A</v>
      </c>
      <c r="L3383" s="4">
        <v>44729</v>
      </c>
      <c r="M3383" s="132">
        <v>10</v>
      </c>
      <c r="P3383" s="4" t="e">
        <f>VLOOKUP(H3383,Stock_list!A:Y,25,FALSE)</f>
        <v>#N/A</v>
      </c>
      <c r="Q3383" s="143"/>
      <c r="T3383" s="144"/>
      <c r="U3383" s="145" t="e">
        <f>VLOOKUP(H3383,Stock_list!A:N,14,FALSE)</f>
        <v>#N/A</v>
      </c>
    </row>
    <row r="3384" spans="1:21" ht="16.5" customHeight="1">
      <c r="A3384" s="159" t="s">
        <v>266</v>
      </c>
      <c r="B3384" s="114" t="str">
        <f>VLOOKUP(A3384,'Data pick slip'!B:F,5,FALSE)</f>
        <v>KHJ-MC500-00</v>
      </c>
      <c r="F3384" s="157" t="s">
        <v>227</v>
      </c>
      <c r="H3384" s="138">
        <v>1601</v>
      </c>
      <c r="I3384" s="139" t="e">
        <f>VLOOKUP(H3384,Stock_list!A:R,18,FALSE)</f>
        <v>#N/A</v>
      </c>
      <c r="J3384" s="139" t="e">
        <f>VLOOKUP(H3384,Stock_list!A:S,17,FALSE)</f>
        <v>#N/A</v>
      </c>
      <c r="K3384" s="51" t="e">
        <f>VLOOKUP(H3384,Stock_list!A:T,16,FALSE)</f>
        <v>#N/A</v>
      </c>
      <c r="L3384" s="4">
        <v>44729</v>
      </c>
      <c r="M3384" s="132">
        <v>4</v>
      </c>
      <c r="P3384" s="4" t="e">
        <f>VLOOKUP(H3384,Stock_list!A:Y,25,FALSE)</f>
        <v>#N/A</v>
      </c>
      <c r="Q3384" s="143"/>
      <c r="T3384" s="144"/>
      <c r="U3384" s="145" t="e">
        <f>VLOOKUP(H3384,Stock_list!A:N,14,FALSE)</f>
        <v>#N/A</v>
      </c>
    </row>
    <row r="3385" spans="1:21" ht="16.5" customHeight="1">
      <c r="A3385" s="159" t="s">
        <v>268</v>
      </c>
      <c r="B3385" s="114" t="str">
        <f>VLOOKUP(A3385,'Data pick slip'!B:F,5,FALSE)</f>
        <v>KHJ-MC700-00</v>
      </c>
      <c r="F3385" s="157" t="s">
        <v>227</v>
      </c>
      <c r="H3385" s="138">
        <v>1601</v>
      </c>
      <c r="I3385" s="139" t="e">
        <f>VLOOKUP(H3385,Stock_list!A:R,18,FALSE)</f>
        <v>#N/A</v>
      </c>
      <c r="J3385" s="139" t="e">
        <f>VLOOKUP(H3385,Stock_list!A:S,17,FALSE)</f>
        <v>#N/A</v>
      </c>
      <c r="K3385" s="51" t="e">
        <f>VLOOKUP(H3385,Stock_list!A:T,16,FALSE)</f>
        <v>#N/A</v>
      </c>
      <c r="L3385" s="4">
        <v>44729</v>
      </c>
      <c r="M3385" s="132">
        <v>1</v>
      </c>
      <c r="P3385" s="4" t="e">
        <f>VLOOKUP(H3385,Stock_list!A:Y,25,FALSE)</f>
        <v>#N/A</v>
      </c>
      <c r="Q3385" s="143"/>
      <c r="T3385" s="144"/>
      <c r="U3385" s="145" t="e">
        <f>VLOOKUP(H3385,Stock_list!A:N,14,FALSE)</f>
        <v>#N/A</v>
      </c>
    </row>
    <row r="3386" spans="1:21" ht="16.5" customHeight="1">
      <c r="A3386" s="159" t="s">
        <v>261</v>
      </c>
      <c r="B3386" s="114" t="str">
        <f>VLOOKUP(A3386,'Data pick slip'!B:F,5,FALSE)</f>
        <v>KHJ-MC100-00</v>
      </c>
      <c r="F3386" s="157" t="s">
        <v>227</v>
      </c>
      <c r="H3386" s="138">
        <v>1606</v>
      </c>
      <c r="I3386" s="139" t="e">
        <f>VLOOKUP(H3386,Stock_list!A:R,18,FALSE)</f>
        <v>#N/A</v>
      </c>
      <c r="J3386" s="139" t="e">
        <f>VLOOKUP(H3386,Stock_list!A:S,17,FALSE)</f>
        <v>#N/A</v>
      </c>
      <c r="K3386" s="51" t="e">
        <f>VLOOKUP(H3386,Stock_list!A:T,16,FALSE)</f>
        <v>#N/A</v>
      </c>
      <c r="L3386" s="4">
        <v>44735</v>
      </c>
      <c r="M3386" s="140">
        <v>110</v>
      </c>
      <c r="P3386" s="4" t="e">
        <f>VLOOKUP(H3386,Stock_list!A:Y,25,FALSE)</f>
        <v>#N/A</v>
      </c>
      <c r="Q3386" s="143"/>
      <c r="T3386" s="144"/>
      <c r="U3386" s="145" t="e">
        <f>VLOOKUP(H3386,Stock_list!A:N,14,FALSE)</f>
        <v>#N/A</v>
      </c>
    </row>
    <row r="3387" spans="1:21" ht="16.5" customHeight="1">
      <c r="A3387" s="159" t="s">
        <v>264</v>
      </c>
      <c r="B3387" s="114" t="str">
        <f>VLOOKUP(A3387,'Data pick slip'!B:F,5,FALSE)</f>
        <v>KHJ-MC200-00</v>
      </c>
      <c r="F3387" s="157" t="s">
        <v>227</v>
      </c>
      <c r="H3387" s="138">
        <v>1606</v>
      </c>
      <c r="I3387" s="139" t="e">
        <f>VLOOKUP(H3387,Stock_list!A:R,18,FALSE)</f>
        <v>#N/A</v>
      </c>
      <c r="J3387" s="139" t="e">
        <f>VLOOKUP(H3387,Stock_list!A:S,17,FALSE)</f>
        <v>#N/A</v>
      </c>
      <c r="K3387" s="51" t="e">
        <f>VLOOKUP(H3387,Stock_list!A:T,16,FALSE)</f>
        <v>#N/A</v>
      </c>
      <c r="L3387" s="4">
        <v>44735</v>
      </c>
      <c r="M3387" s="140">
        <v>20</v>
      </c>
      <c r="P3387" s="4" t="e">
        <f>VLOOKUP(H3387,Stock_list!A:Y,25,FALSE)</f>
        <v>#N/A</v>
      </c>
      <c r="Q3387" s="143"/>
      <c r="T3387" s="144"/>
      <c r="U3387" s="145" t="e">
        <f>VLOOKUP(H3387,Stock_list!A:N,14,FALSE)</f>
        <v>#N/A</v>
      </c>
    </row>
    <row r="3388" spans="1:21" ht="16.5" customHeight="1">
      <c r="A3388" s="159" t="s">
        <v>265</v>
      </c>
      <c r="B3388" s="114" t="str">
        <f>VLOOKUP(A3388,'Data pick slip'!B:F,5,FALSE)</f>
        <v>KHJ-MC400-00</v>
      </c>
      <c r="F3388" s="157" t="s">
        <v>227</v>
      </c>
      <c r="H3388" s="138">
        <v>1606</v>
      </c>
      <c r="I3388" s="139" t="e">
        <f>VLOOKUP(H3388,Stock_list!A:R,18,FALSE)</f>
        <v>#N/A</v>
      </c>
      <c r="J3388" s="139" t="e">
        <f>VLOOKUP(H3388,Stock_list!A:S,17,FALSE)</f>
        <v>#N/A</v>
      </c>
      <c r="K3388" s="51" t="e">
        <f>VLOOKUP(H3388,Stock_list!A:T,16,FALSE)</f>
        <v>#N/A</v>
      </c>
      <c r="L3388" s="4">
        <v>44735</v>
      </c>
      <c r="M3388" s="140">
        <v>6</v>
      </c>
      <c r="P3388" s="4" t="e">
        <f>VLOOKUP(H3388,Stock_list!A:Y,25,FALSE)</f>
        <v>#N/A</v>
      </c>
      <c r="Q3388" s="143"/>
      <c r="T3388" s="144"/>
      <c r="U3388" s="145" t="e">
        <f>VLOOKUP(H3388,Stock_list!A:N,14,FALSE)</f>
        <v>#N/A</v>
      </c>
    </row>
    <row r="3389" spans="1:21" ht="16.5" customHeight="1">
      <c r="A3389" s="159" t="s">
        <v>285</v>
      </c>
      <c r="B3389" s="114" t="str">
        <f>VLOOKUP(A3389,'Data pick slip'!B:F,5,FALSE)</f>
        <v>KHJ-MC100-00</v>
      </c>
      <c r="F3389" s="157" t="s">
        <v>227</v>
      </c>
      <c r="H3389" s="138">
        <v>1382</v>
      </c>
      <c r="I3389" s="139" t="e">
        <f>VLOOKUP(H3389,Stock_list!A:R,18,FALSE)</f>
        <v>#N/A</v>
      </c>
      <c r="J3389" s="139" t="e">
        <f>VLOOKUP(H3389,Stock_list!A:S,17,FALSE)</f>
        <v>#N/A</v>
      </c>
      <c r="K3389" s="51" t="e">
        <f>VLOOKUP(H3389,Stock_list!A:T,16,FALSE)</f>
        <v>#N/A</v>
      </c>
      <c r="L3389" s="4">
        <v>44650</v>
      </c>
      <c r="M3389" s="140">
        <v>30</v>
      </c>
      <c r="P3389" s="4" t="e">
        <f>VLOOKUP(H3389,Stock_list!A:Y,25,FALSE)</f>
        <v>#N/A</v>
      </c>
      <c r="Q3389" s="143"/>
      <c r="T3389" s="144"/>
      <c r="U3389" s="145" t="e">
        <f>VLOOKUP(H3389,Stock_list!A:N,14,FALSE)</f>
        <v>#N/A</v>
      </c>
    </row>
    <row r="3390" spans="1:21" ht="16.5" customHeight="1">
      <c r="A3390" s="159" t="s">
        <v>264</v>
      </c>
      <c r="B3390" s="114" t="str">
        <f>VLOOKUP(A3390,'Data pick slip'!B:F,5,FALSE)</f>
        <v>KHJ-MC200-00</v>
      </c>
      <c r="F3390" s="157" t="s">
        <v>227</v>
      </c>
      <c r="H3390" s="138">
        <v>1382</v>
      </c>
      <c r="I3390" s="139" t="e">
        <f>VLOOKUP(H3390,Stock_list!A:R,18,FALSE)</f>
        <v>#N/A</v>
      </c>
      <c r="J3390" s="139" t="e">
        <f>VLOOKUP(H3390,Stock_list!A:S,17,FALSE)</f>
        <v>#N/A</v>
      </c>
      <c r="K3390" s="51" t="e">
        <f>VLOOKUP(H3390,Stock_list!A:T,16,FALSE)</f>
        <v>#N/A</v>
      </c>
      <c r="L3390" s="4">
        <v>44650</v>
      </c>
      <c r="M3390" s="140">
        <v>4</v>
      </c>
      <c r="P3390" s="4" t="e">
        <f>VLOOKUP(H3390,Stock_list!A:Y,25,FALSE)</f>
        <v>#N/A</v>
      </c>
      <c r="Q3390" s="143"/>
      <c r="T3390" s="144"/>
      <c r="U3390" s="145" t="e">
        <f>VLOOKUP(H3390,Stock_list!A:N,14,FALSE)</f>
        <v>#N/A</v>
      </c>
    </row>
    <row r="3391" spans="1:21" ht="16.5" customHeight="1">
      <c r="A3391" s="159" t="s">
        <v>265</v>
      </c>
      <c r="B3391" s="114" t="str">
        <f>VLOOKUP(A3391,'Data pick slip'!B:F,5,FALSE)</f>
        <v>KHJ-MC400-00</v>
      </c>
      <c r="F3391" s="157" t="s">
        <v>227</v>
      </c>
      <c r="H3391" s="138">
        <v>1382</v>
      </c>
      <c r="I3391" s="139" t="e">
        <f>VLOOKUP(H3391,Stock_list!A:R,18,FALSE)</f>
        <v>#N/A</v>
      </c>
      <c r="J3391" s="139" t="e">
        <f>VLOOKUP(H3391,Stock_list!A:S,17,FALSE)</f>
        <v>#N/A</v>
      </c>
      <c r="K3391" s="51" t="e">
        <f>VLOOKUP(H3391,Stock_list!A:T,16,FALSE)</f>
        <v>#N/A</v>
      </c>
      <c r="L3391" s="4">
        <v>44650</v>
      </c>
      <c r="M3391" s="140">
        <v>1</v>
      </c>
      <c r="P3391" s="4" t="e">
        <f>VLOOKUP(H3391,Stock_list!A:Y,25,FALSE)</f>
        <v>#N/A</v>
      </c>
      <c r="Q3391" s="143"/>
      <c r="T3391" s="144"/>
      <c r="U3391" s="145" t="e">
        <f>VLOOKUP(H3391,Stock_list!A:N,14,FALSE)</f>
        <v>#N/A</v>
      </c>
    </row>
    <row r="3392" spans="1:21" ht="16.5" customHeight="1">
      <c r="A3392" s="159" t="s">
        <v>266</v>
      </c>
      <c r="B3392" s="114" t="str">
        <f>VLOOKUP(A3392,'Data pick slip'!B:F,5,FALSE)</f>
        <v>KHJ-MC500-00</v>
      </c>
      <c r="F3392" s="157" t="s">
        <v>227</v>
      </c>
      <c r="H3392" s="138">
        <v>1382</v>
      </c>
      <c r="I3392" s="139" t="e">
        <f>VLOOKUP(H3392,Stock_list!A:R,18,FALSE)</f>
        <v>#N/A</v>
      </c>
      <c r="J3392" s="139" t="e">
        <f>VLOOKUP(H3392,Stock_list!A:S,17,FALSE)</f>
        <v>#N/A</v>
      </c>
      <c r="K3392" s="51" t="e">
        <f>VLOOKUP(H3392,Stock_list!A:T,16,FALSE)</f>
        <v>#N/A</v>
      </c>
      <c r="L3392" s="4">
        <v>44650</v>
      </c>
      <c r="M3392" s="140">
        <v>1</v>
      </c>
      <c r="P3392" s="4" t="e">
        <f>VLOOKUP(H3392,Stock_list!A:Y,25,FALSE)</f>
        <v>#N/A</v>
      </c>
      <c r="Q3392" s="143"/>
      <c r="T3392" s="144"/>
      <c r="U3392" s="145" t="e">
        <f>VLOOKUP(H3392,Stock_list!A:N,14,FALSE)</f>
        <v>#N/A</v>
      </c>
    </row>
    <row r="3393" spans="1:21" ht="24" customHeight="1">
      <c r="A3393" s="159" t="s">
        <v>266</v>
      </c>
      <c r="B3393" s="114" t="str">
        <f>VLOOKUP(A3393,'Data pick slip'!B:F,5,FALSE)</f>
        <v>KHJ-MC500-00</v>
      </c>
      <c r="F3393" s="157" t="s">
        <v>270</v>
      </c>
      <c r="I3393" s="139" t="s">
        <v>617</v>
      </c>
      <c r="J3393" s="139" t="s">
        <v>1021</v>
      </c>
      <c r="K3393" s="51" t="s">
        <v>225</v>
      </c>
      <c r="L3393" s="4">
        <v>44627</v>
      </c>
      <c r="M3393" s="140">
        <v>1</v>
      </c>
      <c r="P3393" s="4" t="s">
        <v>214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267</v>
      </c>
      <c r="B3394" s="114" t="str">
        <f>VLOOKUP(A3394,'Data pick slip'!B:F,5,FALSE)</f>
        <v>KHJ-MC600-00</v>
      </c>
      <c r="F3394" s="157" t="s">
        <v>270</v>
      </c>
      <c r="I3394" s="139" t="s">
        <v>617</v>
      </c>
      <c r="J3394" s="139" t="s">
        <v>1021</v>
      </c>
      <c r="K3394" s="51" t="s">
        <v>225</v>
      </c>
      <c r="L3394" s="4">
        <v>44627</v>
      </c>
      <c r="M3394" s="140">
        <v>1</v>
      </c>
      <c r="P3394" s="4" t="s">
        <v>214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285</v>
      </c>
      <c r="B3395" s="114" t="str">
        <f>VLOOKUP(A3395,'Data pick slip'!B:F,5,FALSE)</f>
        <v>KHJ-MC100-00</v>
      </c>
      <c r="F3395" s="157" t="s">
        <v>270</v>
      </c>
      <c r="I3395" s="139" t="s">
        <v>611</v>
      </c>
      <c r="J3395" s="270" t="s">
        <v>1022</v>
      </c>
      <c r="K3395" s="51" t="s">
        <v>225</v>
      </c>
      <c r="L3395" s="4">
        <v>44629</v>
      </c>
      <c r="M3395" s="140">
        <v>20</v>
      </c>
      <c r="P3395" s="4" t="s">
        <v>214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285</v>
      </c>
      <c r="B3396" s="114" t="str">
        <f>VLOOKUP(A3396,'Data pick slip'!B:F,5,FALSE)</f>
        <v>KHJ-MC100-00</v>
      </c>
      <c r="F3396" s="157" t="s">
        <v>227</v>
      </c>
      <c r="H3396" s="138">
        <v>1608</v>
      </c>
      <c r="I3396" s="269" t="s">
        <v>931</v>
      </c>
      <c r="J3396" s="139" t="s">
        <v>1023</v>
      </c>
      <c r="K3396" s="51" t="s">
        <v>225</v>
      </c>
      <c r="L3396" s="4">
        <v>44614</v>
      </c>
      <c r="M3396" s="140">
        <v>23</v>
      </c>
      <c r="P3396" s="4" t="s">
        <v>214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264</v>
      </c>
      <c r="B3397" s="114" t="str">
        <f>VLOOKUP(A3397,'Data pick slip'!B:F,5,FALSE)</f>
        <v>KHJ-MC200-00</v>
      </c>
      <c r="F3397" s="157" t="s">
        <v>227</v>
      </c>
      <c r="H3397" s="138">
        <v>1608</v>
      </c>
      <c r="I3397" s="269" t="s">
        <v>931</v>
      </c>
      <c r="J3397" s="139" t="s">
        <v>1023</v>
      </c>
      <c r="K3397" s="51" t="s">
        <v>225</v>
      </c>
      <c r="L3397" s="4">
        <v>44614</v>
      </c>
      <c r="M3397" s="140">
        <v>10</v>
      </c>
      <c r="P3397" s="4" t="s">
        <v>214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261</v>
      </c>
      <c r="B3398" s="114" t="str">
        <f>VLOOKUP(A3398,'Data pick slip'!B:F,5,FALSE)</f>
        <v>KHJ-MC100-00</v>
      </c>
      <c r="F3398" s="157" t="s">
        <v>270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264</v>
      </c>
      <c r="B3399" s="114" t="str">
        <f>VLOOKUP(A3399,'Data pick slip'!B:F,5,FALSE)</f>
        <v>KHJ-MC200-00</v>
      </c>
      <c r="F3399" s="157" t="s">
        <v>270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265</v>
      </c>
      <c r="B3400" s="114" t="str">
        <f>VLOOKUP(A3400,'Data pick slip'!B:F,5,FALSE)</f>
        <v>KHJ-MC400-00</v>
      </c>
      <c r="F3400" s="157" t="s">
        <v>270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264</v>
      </c>
      <c r="B3401" s="114" t="str">
        <f>VLOOKUP(A3401,'Data pick slip'!B:F,5,FALSE)</f>
        <v>KHJ-MC200-00</v>
      </c>
      <c r="F3401" s="157" t="s">
        <v>270</v>
      </c>
      <c r="I3401" s="139" t="s">
        <v>633</v>
      </c>
      <c r="J3401" s="270" t="s">
        <v>1024</v>
      </c>
      <c r="K3401" s="51" t="s">
        <v>225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285</v>
      </c>
      <c r="B3402" s="114" t="str">
        <f>VLOOKUP(A3402,'Data pick slip'!B:F,5,FALSE)</f>
        <v>KHJ-MC100-00</v>
      </c>
      <c r="F3402" s="157" t="s">
        <v>270</v>
      </c>
      <c r="H3402" s="138">
        <v>1618</v>
      </c>
      <c r="I3402" s="139" t="e">
        <f>VLOOKUP(H3402,Stock_list!A:R,18,FALSE)</f>
        <v>#N/A</v>
      </c>
      <c r="J3402" s="139" t="e">
        <f>VLOOKUP(H3402,Stock_list!A:S,17,FALSE)</f>
        <v>#N/A</v>
      </c>
      <c r="K3402" s="51" t="e">
        <f>VLOOKUP(H3402,Stock_list!A:T,16,FALSE)</f>
        <v>#N/A</v>
      </c>
      <c r="L3402" s="4">
        <v>44711</v>
      </c>
      <c r="M3402" s="140">
        <v>30</v>
      </c>
      <c r="P3402" s="4" t="e">
        <f>VLOOKUP(H3402,Stock_list!A:Y,25,FALSE)</f>
        <v>#N/A</v>
      </c>
      <c r="Q3402" s="143"/>
      <c r="T3402" s="144"/>
      <c r="U3402" s="145" t="e">
        <f>VLOOKUP(H3402,Stock_list!A:N,14,FALSE)</f>
        <v>#N/A</v>
      </c>
    </row>
    <row r="3403" spans="1:21" ht="16.5" customHeight="1">
      <c r="A3403" s="159" t="s">
        <v>264</v>
      </c>
      <c r="B3403" s="114" t="str">
        <f>VLOOKUP(A3403,'Data pick slip'!B:F,5,FALSE)</f>
        <v>KHJ-MC200-00</v>
      </c>
      <c r="F3403" s="157" t="s">
        <v>270</v>
      </c>
      <c r="H3403" s="138">
        <v>1618</v>
      </c>
      <c r="I3403" s="139" t="e">
        <f>VLOOKUP(H3403,Stock_list!A:R,18,FALSE)</f>
        <v>#N/A</v>
      </c>
      <c r="J3403" s="139" t="e">
        <f>VLOOKUP(H3403,Stock_list!A:S,17,FALSE)</f>
        <v>#N/A</v>
      </c>
      <c r="K3403" s="51" t="e">
        <f>VLOOKUP(H3403,Stock_list!A:T,16,FALSE)</f>
        <v>#N/A</v>
      </c>
      <c r="L3403" s="4">
        <v>44711</v>
      </c>
      <c r="M3403" s="140">
        <v>5</v>
      </c>
      <c r="P3403" s="4" t="e">
        <f>VLOOKUP(H3403,Stock_list!A:Y,25,FALSE)</f>
        <v>#N/A</v>
      </c>
      <c r="Q3403" s="143"/>
      <c r="T3403" s="144"/>
      <c r="U3403" s="145" t="e">
        <f>VLOOKUP(H3403,Stock_list!A:N,14,FALSE)</f>
        <v>#N/A</v>
      </c>
    </row>
    <row r="3404" spans="1:21" ht="16.5" customHeight="1">
      <c r="A3404" s="159" t="s">
        <v>261</v>
      </c>
      <c r="B3404" s="114" t="str">
        <f>VLOOKUP(A3404,'Data pick slip'!B:F,5,FALSE)</f>
        <v>KHJ-MC100-00</v>
      </c>
      <c r="F3404" s="157" t="s">
        <v>227</v>
      </c>
      <c r="H3404" s="138">
        <v>1625</v>
      </c>
      <c r="I3404" s="139" t="e">
        <f>VLOOKUP(H3404,Stock_list!A:R,18,FALSE)</f>
        <v>#N/A</v>
      </c>
      <c r="J3404" s="139" t="e">
        <f>VLOOKUP(H3404,Stock_list!A:S,17,FALSE)</f>
        <v>#N/A</v>
      </c>
      <c r="K3404" s="51" t="e">
        <f>VLOOKUP(H3404,Stock_list!A:T,16,FALSE)</f>
        <v>#N/A</v>
      </c>
      <c r="L3404" s="4">
        <v>44767</v>
      </c>
      <c r="M3404" s="140">
        <v>157</v>
      </c>
      <c r="P3404" s="4" t="e">
        <f>VLOOKUP(H3404,Stock_list!A:Y,25,FALSE)</f>
        <v>#N/A</v>
      </c>
      <c r="Q3404" s="143"/>
      <c r="T3404" s="144"/>
      <c r="U3404" s="145" t="e">
        <f>VLOOKUP(H3404,Stock_list!A:N,14,FALSE)</f>
        <v>#N/A</v>
      </c>
    </row>
    <row r="3405" spans="1:21" ht="16.5" customHeight="1">
      <c r="A3405" s="159" t="s">
        <v>264</v>
      </c>
      <c r="B3405" s="114" t="str">
        <f>VLOOKUP(A3405,'Data pick slip'!B:F,5,FALSE)</f>
        <v>KHJ-MC200-00</v>
      </c>
      <c r="F3405" s="157" t="s">
        <v>227</v>
      </c>
      <c r="H3405" s="138">
        <v>1625</v>
      </c>
      <c r="I3405" s="139" t="e">
        <f>VLOOKUP(H3405,Stock_list!A:R,18,FALSE)</f>
        <v>#N/A</v>
      </c>
      <c r="J3405" s="139" t="e">
        <f>VLOOKUP(H3405,Stock_list!A:S,17,FALSE)</f>
        <v>#N/A</v>
      </c>
      <c r="K3405" s="51" t="e">
        <f>VLOOKUP(H3405,Stock_list!A:T,16,FALSE)</f>
        <v>#N/A</v>
      </c>
      <c r="L3405" s="4">
        <v>44767</v>
      </c>
      <c r="M3405" s="140">
        <v>30</v>
      </c>
      <c r="P3405" s="4" t="e">
        <f>VLOOKUP(H3405,Stock_list!A:Y,25,FALSE)</f>
        <v>#N/A</v>
      </c>
      <c r="Q3405" s="143"/>
      <c r="T3405" s="144"/>
      <c r="U3405" s="145" t="e">
        <f>VLOOKUP(H3405,Stock_list!A:N,14,FALSE)</f>
        <v>#N/A</v>
      </c>
    </row>
    <row r="3406" spans="1:21" ht="16.5" customHeight="1">
      <c r="A3406" s="159" t="s">
        <v>265</v>
      </c>
      <c r="B3406" s="114" t="str">
        <f>VLOOKUP(A3406,'Data pick slip'!B:F,5,FALSE)</f>
        <v>KHJ-MC400-00</v>
      </c>
      <c r="F3406" s="157" t="s">
        <v>227</v>
      </c>
      <c r="H3406" s="138">
        <v>1625</v>
      </c>
      <c r="I3406" s="139" t="e">
        <f>VLOOKUP(H3406,Stock_list!A:R,18,FALSE)</f>
        <v>#N/A</v>
      </c>
      <c r="J3406" s="139" t="e">
        <f>VLOOKUP(H3406,Stock_list!A:S,17,FALSE)</f>
        <v>#N/A</v>
      </c>
      <c r="K3406" s="51" t="e">
        <f>VLOOKUP(H3406,Stock_list!A:T,16,FALSE)</f>
        <v>#N/A</v>
      </c>
      <c r="L3406" s="4">
        <v>44767</v>
      </c>
      <c r="M3406" s="140">
        <v>5</v>
      </c>
      <c r="P3406" s="4" t="e">
        <f>VLOOKUP(H3406,Stock_list!A:Y,25,FALSE)</f>
        <v>#N/A</v>
      </c>
      <c r="Q3406" s="143"/>
      <c r="T3406" s="144"/>
      <c r="U3406" s="145" t="e">
        <f>VLOOKUP(H3406,Stock_list!A:N,14,FALSE)</f>
        <v>#N/A</v>
      </c>
    </row>
    <row r="3407" spans="1:21" ht="16.5" customHeight="1">
      <c r="A3407" s="159" t="s">
        <v>266</v>
      </c>
      <c r="B3407" s="114" t="str">
        <f>VLOOKUP(A3407,'Data pick slip'!B:F,5,FALSE)</f>
        <v>KHJ-MC500-00</v>
      </c>
      <c r="F3407" s="157" t="s">
        <v>227</v>
      </c>
      <c r="H3407" s="138">
        <v>1625</v>
      </c>
      <c r="I3407" s="139" t="e">
        <f>VLOOKUP(H3407,Stock_list!A:R,18,FALSE)</f>
        <v>#N/A</v>
      </c>
      <c r="J3407" s="139" t="e">
        <f>VLOOKUP(H3407,Stock_list!A:S,17,FALSE)</f>
        <v>#N/A</v>
      </c>
      <c r="K3407" s="51" t="e">
        <f>VLOOKUP(H3407,Stock_list!A:T,16,FALSE)</f>
        <v>#N/A</v>
      </c>
      <c r="L3407" s="4">
        <v>44767</v>
      </c>
      <c r="M3407" s="140">
        <v>2</v>
      </c>
      <c r="P3407" s="4" t="e">
        <f>VLOOKUP(H3407,Stock_list!A:Y,25,FALSE)</f>
        <v>#N/A</v>
      </c>
      <c r="Q3407" s="143"/>
      <c r="T3407" s="144"/>
      <c r="U3407" s="145" t="e">
        <f>VLOOKUP(H3407,Stock_list!A:N,14,FALSE)</f>
        <v>#N/A</v>
      </c>
    </row>
    <row r="3408" spans="1:21" ht="16.5" customHeight="1">
      <c r="A3408" s="159" t="s">
        <v>267</v>
      </c>
      <c r="B3408" s="114" t="str">
        <f>VLOOKUP(A3408,'Data pick slip'!B:F,5,FALSE)</f>
        <v>KHJ-MC600-00</v>
      </c>
      <c r="F3408" s="157" t="s">
        <v>227</v>
      </c>
      <c r="H3408" s="138">
        <v>1625</v>
      </c>
      <c r="I3408" s="139" t="e">
        <f>VLOOKUP(H3408,Stock_list!A:R,18,FALSE)</f>
        <v>#N/A</v>
      </c>
      <c r="J3408" s="139" t="e">
        <f>VLOOKUP(H3408,Stock_list!A:S,17,FALSE)</f>
        <v>#N/A</v>
      </c>
      <c r="K3408" s="51" t="e">
        <f>VLOOKUP(H3408,Stock_list!A:T,16,FALSE)</f>
        <v>#N/A</v>
      </c>
      <c r="L3408" s="4">
        <v>44767</v>
      </c>
      <c r="M3408" s="140">
        <v>2</v>
      </c>
      <c r="P3408" s="4" t="e">
        <f>VLOOKUP(H3408,Stock_list!A:Y,25,FALSE)</f>
        <v>#N/A</v>
      </c>
      <c r="Q3408" s="143"/>
      <c r="T3408" s="144"/>
      <c r="U3408" s="145" t="e">
        <f>VLOOKUP(H3408,Stock_list!A:N,14,FALSE)</f>
        <v>#N/A</v>
      </c>
    </row>
    <row r="3409" spans="1:21" ht="16.5" customHeight="1">
      <c r="A3409" s="159" t="s">
        <v>268</v>
      </c>
      <c r="B3409" s="114" t="str">
        <f>VLOOKUP(A3409,'Data pick slip'!B:F,5,FALSE)</f>
        <v>KHJ-MC700-00</v>
      </c>
      <c r="F3409" s="157" t="s">
        <v>227</v>
      </c>
      <c r="H3409" s="138">
        <v>1625</v>
      </c>
      <c r="I3409" s="139" t="e">
        <f>VLOOKUP(H3409,Stock_list!A:R,18,FALSE)</f>
        <v>#N/A</v>
      </c>
      <c r="J3409" s="139" t="e">
        <f>VLOOKUP(H3409,Stock_list!A:S,17,FALSE)</f>
        <v>#N/A</v>
      </c>
      <c r="K3409" s="51" t="e">
        <f>VLOOKUP(H3409,Stock_list!A:T,16,FALSE)</f>
        <v>#N/A</v>
      </c>
      <c r="L3409" s="4">
        <v>44767</v>
      </c>
      <c r="M3409" s="140">
        <v>1</v>
      </c>
      <c r="P3409" s="4" t="e">
        <f>VLOOKUP(H3409,Stock_list!A:Y,25,FALSE)</f>
        <v>#N/A</v>
      </c>
      <c r="Q3409" s="143"/>
      <c r="T3409" s="144"/>
      <c r="U3409" s="145" t="e">
        <f>VLOOKUP(H3409,Stock_list!A:N,14,FALSE)</f>
        <v>#N/A</v>
      </c>
    </row>
    <row r="3410" spans="1:21" ht="16.5" customHeight="1">
      <c r="A3410" s="159" t="s">
        <v>261</v>
      </c>
      <c r="B3410" s="114" t="str">
        <f>VLOOKUP(A3410,'Data pick slip'!B:F,5,FALSE)</f>
        <v>KHJ-MC100-00</v>
      </c>
      <c r="F3410" s="157" t="s">
        <v>227</v>
      </c>
      <c r="H3410" s="138">
        <v>1630</v>
      </c>
      <c r="I3410" s="139" t="e">
        <f>VLOOKUP(H3410,Stock_list!A:R,18,FALSE)</f>
        <v>#N/A</v>
      </c>
      <c r="J3410" s="139" t="e">
        <f>VLOOKUP(H3410,Stock_list!A:S,17,FALSE)</f>
        <v>#N/A</v>
      </c>
      <c r="K3410" s="51" t="e">
        <f>VLOOKUP(H3410,Stock_list!A:T,16,FALSE)</f>
        <v>#N/A</v>
      </c>
      <c r="L3410" s="4">
        <v>44775</v>
      </c>
      <c r="M3410" s="140">
        <v>25</v>
      </c>
      <c r="P3410" s="4" t="e">
        <f>VLOOKUP(H3410,Stock_list!A:Y,25,FALSE)</f>
        <v>#N/A</v>
      </c>
      <c r="Q3410" s="143"/>
      <c r="T3410" s="144"/>
      <c r="U3410" s="145" t="e">
        <f>VLOOKUP(H3410,Stock_list!A:N,14,FALSE)</f>
        <v>#N/A</v>
      </c>
    </row>
    <row r="3411" spans="1:21" ht="16.5" customHeight="1">
      <c r="A3411" s="159" t="s">
        <v>264</v>
      </c>
      <c r="B3411" s="114" t="str">
        <f>VLOOKUP(A3411,'Data pick slip'!B:F,5,FALSE)</f>
        <v>KHJ-MC200-00</v>
      </c>
      <c r="F3411" s="157" t="s">
        <v>227</v>
      </c>
      <c r="H3411" s="138">
        <v>1630</v>
      </c>
      <c r="I3411" s="139" t="e">
        <f>VLOOKUP(H3411,Stock_list!A:R,18,FALSE)</f>
        <v>#N/A</v>
      </c>
      <c r="J3411" s="139" t="e">
        <f>VLOOKUP(H3411,Stock_list!A:S,17,FALSE)</f>
        <v>#N/A</v>
      </c>
      <c r="K3411" s="51" t="e">
        <f>VLOOKUP(H3411,Stock_list!A:T,16,FALSE)</f>
        <v>#N/A</v>
      </c>
      <c r="L3411" s="4">
        <v>44775</v>
      </c>
      <c r="M3411" s="140">
        <v>5</v>
      </c>
      <c r="P3411" s="4" t="e">
        <f>VLOOKUP(H3411,Stock_list!A:Y,25,FALSE)</f>
        <v>#N/A</v>
      </c>
      <c r="Q3411" s="143"/>
      <c r="T3411" s="144"/>
      <c r="U3411" s="145" t="e">
        <f>VLOOKUP(H3411,Stock_list!A:N,14,FALSE)</f>
        <v>#N/A</v>
      </c>
    </row>
    <row r="3412" spans="1:21" ht="16.5" customHeight="1">
      <c r="A3412" s="159" t="s">
        <v>261</v>
      </c>
      <c r="B3412" s="114" t="str">
        <f>VLOOKUP(A3412,'Data pick slip'!B:F,5,FALSE)</f>
        <v>KHJ-MC100-00</v>
      </c>
      <c r="F3412" s="157" t="s">
        <v>227</v>
      </c>
      <c r="H3412" s="138">
        <v>1633</v>
      </c>
      <c r="I3412" s="139" t="e">
        <f>VLOOKUP(H3412,Stock_list!A:R,18,FALSE)</f>
        <v>#N/A</v>
      </c>
      <c r="J3412" s="139" t="e">
        <f>VLOOKUP(H3412,Stock_list!A:S,17,FALSE)</f>
        <v>#N/A</v>
      </c>
      <c r="K3412" s="51" t="e">
        <f>VLOOKUP(H3412,Stock_list!A:T,16,FALSE)</f>
        <v>#N/A</v>
      </c>
      <c r="L3412" s="4">
        <v>44712</v>
      </c>
      <c r="M3412" s="132">
        <v>20</v>
      </c>
      <c r="P3412" s="4" t="e">
        <f>VLOOKUP(H3412,Stock_list!A:Y,25,FALSE)</f>
        <v>#N/A</v>
      </c>
      <c r="Q3412" s="143"/>
      <c r="T3412" s="144"/>
      <c r="U3412" s="145" t="e">
        <f>VLOOKUP(H3412,Stock_list!A:N,14,FALSE)</f>
        <v>#N/A</v>
      </c>
    </row>
    <row r="3413" spans="1:21" ht="16.5" customHeight="1">
      <c r="A3413" s="159" t="s">
        <v>264</v>
      </c>
      <c r="B3413" s="114" t="str">
        <f>VLOOKUP(A3413,'Data pick slip'!B:F,5,FALSE)</f>
        <v>KHJ-MC200-00</v>
      </c>
      <c r="F3413" s="157" t="s">
        <v>227</v>
      </c>
      <c r="H3413" s="138">
        <v>1633</v>
      </c>
      <c r="I3413" s="139" t="e">
        <f>VLOOKUP(H3413,Stock_list!A:R,18,FALSE)</f>
        <v>#N/A</v>
      </c>
      <c r="J3413" s="139" t="e">
        <f>VLOOKUP(H3413,Stock_list!A:S,17,FALSE)</f>
        <v>#N/A</v>
      </c>
      <c r="K3413" s="51" t="e">
        <f>VLOOKUP(H3413,Stock_list!A:T,16,FALSE)</f>
        <v>#N/A</v>
      </c>
      <c r="L3413" s="4">
        <v>44712</v>
      </c>
      <c r="M3413" s="132">
        <v>5</v>
      </c>
      <c r="P3413" s="4" t="e">
        <f>VLOOKUP(H3413,Stock_list!A:Y,25,FALSE)</f>
        <v>#N/A</v>
      </c>
      <c r="Q3413" s="143"/>
      <c r="T3413" s="144"/>
      <c r="U3413" s="145" t="e">
        <f>VLOOKUP(H3413,Stock_list!A:N,14,FALSE)</f>
        <v>#N/A</v>
      </c>
    </row>
    <row r="3414" spans="1:21" ht="16.5" customHeight="1">
      <c r="A3414" s="159" t="s">
        <v>265</v>
      </c>
      <c r="B3414" s="114" t="str">
        <f>VLOOKUP(A3414,'Data pick slip'!B:F,5,FALSE)</f>
        <v>KHJ-MC400-00</v>
      </c>
      <c r="F3414" s="157" t="s">
        <v>227</v>
      </c>
      <c r="H3414" s="138">
        <v>1633</v>
      </c>
      <c r="I3414" s="139" t="e">
        <f>VLOOKUP(H3414,Stock_list!A:R,18,FALSE)</f>
        <v>#N/A</v>
      </c>
      <c r="J3414" s="139" t="e">
        <f>VLOOKUP(H3414,Stock_list!A:S,17,FALSE)</f>
        <v>#N/A</v>
      </c>
      <c r="K3414" s="51" t="e">
        <f>VLOOKUP(H3414,Stock_list!A:T,16,FALSE)</f>
        <v>#N/A</v>
      </c>
      <c r="L3414" s="4">
        <v>44712</v>
      </c>
      <c r="M3414" s="132">
        <v>3</v>
      </c>
      <c r="P3414" s="4" t="e">
        <f>VLOOKUP(H3414,Stock_list!A:Y,25,FALSE)</f>
        <v>#N/A</v>
      </c>
      <c r="Q3414" s="143"/>
      <c r="T3414" s="144"/>
      <c r="U3414" s="145" t="e">
        <f>VLOOKUP(H3414,Stock_list!A:N,14,FALSE)</f>
        <v>#N/A</v>
      </c>
    </row>
    <row r="3415" spans="1:21" ht="16.5" customHeight="1">
      <c r="A3415" s="159" t="s">
        <v>261</v>
      </c>
      <c r="B3415" s="114" t="str">
        <f>VLOOKUP(A3415,'Data pick slip'!B:F,5,FALSE)</f>
        <v>KHJ-MC100-00</v>
      </c>
      <c r="F3415" s="157" t="s">
        <v>270</v>
      </c>
      <c r="H3415" s="138">
        <v>1634</v>
      </c>
      <c r="I3415" s="139" t="e">
        <f>VLOOKUP(H3415,Stock_list!A:R,18,FALSE)</f>
        <v>#N/A</v>
      </c>
      <c r="J3415" s="139" t="e">
        <f>VLOOKUP(H3415,Stock_list!A:S,17,FALSE)</f>
        <v>#N/A</v>
      </c>
      <c r="K3415" s="51" t="e">
        <f>VLOOKUP(H3415,Stock_list!A:T,16,FALSE)</f>
        <v>#N/A</v>
      </c>
      <c r="L3415" s="4">
        <v>44676</v>
      </c>
      <c r="M3415" s="140">
        <v>30</v>
      </c>
      <c r="P3415" s="4" t="e">
        <f>VLOOKUP(H3415,Stock_list!A:Y,25,FALSE)</f>
        <v>#N/A</v>
      </c>
      <c r="Q3415" s="143"/>
      <c r="T3415" s="144"/>
      <c r="U3415" s="145" t="e">
        <f>VLOOKUP(H3415,Stock_list!A:N,14,FALSE)</f>
        <v>#N/A</v>
      </c>
    </row>
    <row r="3416" spans="1:21" ht="16.5" customHeight="1">
      <c r="A3416" s="159" t="s">
        <v>264</v>
      </c>
      <c r="B3416" s="114" t="str">
        <f>VLOOKUP(A3416,'Data pick slip'!B:F,5,FALSE)</f>
        <v>KHJ-MC200-00</v>
      </c>
      <c r="F3416" s="157" t="s">
        <v>270</v>
      </c>
      <c r="H3416" s="138">
        <v>1634</v>
      </c>
      <c r="I3416" s="139" t="e">
        <f>VLOOKUP(H3416,Stock_list!A:R,18,FALSE)</f>
        <v>#N/A</v>
      </c>
      <c r="J3416" s="139" t="e">
        <f>VLOOKUP(H3416,Stock_list!A:S,17,FALSE)</f>
        <v>#N/A</v>
      </c>
      <c r="K3416" s="51" t="e">
        <f>VLOOKUP(H3416,Stock_list!A:T,16,FALSE)</f>
        <v>#N/A</v>
      </c>
      <c r="L3416" s="4">
        <v>44676</v>
      </c>
      <c r="M3416" s="140">
        <v>3</v>
      </c>
      <c r="P3416" s="4" t="e">
        <f>VLOOKUP(H3416,Stock_list!A:Y,25,FALSE)</f>
        <v>#N/A</v>
      </c>
      <c r="Q3416" s="143"/>
      <c r="T3416" s="144"/>
      <c r="U3416" s="145" t="e">
        <f>VLOOKUP(H3416,Stock_list!A:N,14,FALSE)</f>
        <v>#N/A</v>
      </c>
    </row>
    <row r="3417" spans="1:21" ht="16.5" customHeight="1">
      <c r="A3417" s="159" t="s">
        <v>266</v>
      </c>
      <c r="B3417" s="114" t="str">
        <f>VLOOKUP(A3417,'Data pick slip'!B:F,5,FALSE)</f>
        <v>KHJ-MC500-00</v>
      </c>
      <c r="F3417" s="157" t="s">
        <v>270</v>
      </c>
      <c r="I3417" s="139" t="s">
        <v>617</v>
      </c>
      <c r="J3417" s="267" t="s">
        <v>1025</v>
      </c>
      <c r="K3417" s="51" t="s">
        <v>225</v>
      </c>
      <c r="L3417" s="4">
        <v>44646</v>
      </c>
      <c r="M3417" s="140">
        <v>3</v>
      </c>
      <c r="P3417" s="4" t="s">
        <v>214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267</v>
      </c>
      <c r="B3418" s="114" t="str">
        <f>VLOOKUP(A3418,'Data pick slip'!B:F,5,FALSE)</f>
        <v>KHJ-MC600-00</v>
      </c>
      <c r="F3418" s="157" t="s">
        <v>270</v>
      </c>
      <c r="I3418" s="139" t="s">
        <v>617</v>
      </c>
      <c r="J3418" s="267" t="s">
        <v>1025</v>
      </c>
      <c r="K3418" s="51" t="s">
        <v>225</v>
      </c>
      <c r="L3418" s="4">
        <v>44646</v>
      </c>
      <c r="M3418" s="140">
        <v>1</v>
      </c>
      <c r="P3418" s="4" t="s">
        <v>214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261</v>
      </c>
      <c r="B3419" s="114" t="str">
        <f>VLOOKUP(A3419,'Data pick slip'!B:F,5,FALSE)</f>
        <v>KHJ-MC100-00</v>
      </c>
      <c r="F3419" s="157" t="s">
        <v>227</v>
      </c>
      <c r="I3419" s="269" t="s">
        <v>931</v>
      </c>
      <c r="J3419" s="139" t="s">
        <v>1026</v>
      </c>
      <c r="K3419" s="51" t="s">
        <v>225</v>
      </c>
      <c r="L3419" s="4">
        <v>44642</v>
      </c>
      <c r="M3419" s="140">
        <v>20</v>
      </c>
      <c r="P3419" s="4" t="s">
        <v>214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264</v>
      </c>
      <c r="B3420" s="114" t="str">
        <f>VLOOKUP(A3420,'Data pick slip'!B:F,5,FALSE)</f>
        <v>KHJ-MC200-00</v>
      </c>
      <c r="F3420" s="157" t="s">
        <v>227</v>
      </c>
      <c r="I3420" s="269" t="s">
        <v>931</v>
      </c>
      <c r="J3420" s="139" t="s">
        <v>1026</v>
      </c>
      <c r="K3420" s="51" t="s">
        <v>225</v>
      </c>
      <c r="L3420" s="4">
        <v>44642</v>
      </c>
      <c r="M3420" s="140">
        <v>15</v>
      </c>
      <c r="P3420" s="4" t="s">
        <v>214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265</v>
      </c>
      <c r="B3421" s="114" t="str">
        <f>VLOOKUP(A3421,'Data pick slip'!B:F,5,FALSE)</f>
        <v>KHJ-MC400-00</v>
      </c>
      <c r="F3421" s="157" t="s">
        <v>227</v>
      </c>
      <c r="I3421" s="269" t="s">
        <v>931</v>
      </c>
      <c r="J3421" s="139" t="s">
        <v>1026</v>
      </c>
      <c r="K3421" s="51" t="s">
        <v>225</v>
      </c>
      <c r="L3421" s="4">
        <v>44642</v>
      </c>
      <c r="M3421" s="140">
        <v>10</v>
      </c>
      <c r="P3421" s="4" t="s">
        <v>214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267</v>
      </c>
      <c r="B3422" s="114" t="str">
        <f>VLOOKUP(A3422,'Data pick slip'!B:F,5,FALSE)</f>
        <v>KHJ-MC600-00</v>
      </c>
      <c r="F3422" s="157" t="s">
        <v>227</v>
      </c>
      <c r="I3422" s="269" t="s">
        <v>931</v>
      </c>
      <c r="J3422" s="139" t="s">
        <v>1026</v>
      </c>
      <c r="K3422" s="51" t="s">
        <v>225</v>
      </c>
      <c r="L3422" s="4">
        <v>44642</v>
      </c>
      <c r="M3422" s="140">
        <v>2</v>
      </c>
      <c r="P3422" s="4" t="s">
        <v>214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268</v>
      </c>
      <c r="B3423" s="114" t="str">
        <f>VLOOKUP(A3423,'Data pick slip'!B:F,5,FALSE)</f>
        <v>KHJ-MC700-00</v>
      </c>
      <c r="F3423" s="157" t="s">
        <v>227</v>
      </c>
      <c r="I3423" s="269" t="s">
        <v>931</v>
      </c>
      <c r="J3423" s="139" t="s">
        <v>1026</v>
      </c>
      <c r="K3423" s="51" t="s">
        <v>225</v>
      </c>
      <c r="L3423" s="4">
        <v>44642</v>
      </c>
      <c r="M3423" s="140">
        <v>1</v>
      </c>
      <c r="P3423" s="4" t="s">
        <v>214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261</v>
      </c>
      <c r="B3424" s="114" t="str">
        <f>VLOOKUP(A3424,'Data pick slip'!B:F,5,FALSE)</f>
        <v>KHJ-MC100-00</v>
      </c>
      <c r="F3424" s="157" t="s">
        <v>227</v>
      </c>
      <c r="H3424" s="138">
        <v>1635</v>
      </c>
      <c r="I3424" s="139" t="e">
        <f>VLOOKUP(H3424,Stock_list!A:R,18,FALSE)</f>
        <v>#N/A</v>
      </c>
      <c r="J3424" s="139" t="e">
        <f>VLOOKUP(H3424,Stock_list!A:S,17,FALSE)</f>
        <v>#N/A</v>
      </c>
      <c r="K3424" s="51" t="e">
        <f>VLOOKUP(H3424,Stock_list!A:T,16,FALSE)</f>
        <v>#N/A</v>
      </c>
      <c r="L3424" s="4">
        <v>44706</v>
      </c>
      <c r="M3424" s="132">
        <v>30</v>
      </c>
      <c r="P3424" s="4" t="e">
        <f>VLOOKUP(H3424,Stock_list!A:Y,25,FALSE)</f>
        <v>#N/A</v>
      </c>
      <c r="Q3424" s="143"/>
      <c r="T3424" s="144"/>
      <c r="U3424" s="145" t="e">
        <f>VLOOKUP(H3424,Stock_list!A:N,14,FALSE)</f>
        <v>#N/A</v>
      </c>
    </row>
    <row r="3425" spans="1:21" ht="16.5" customHeight="1">
      <c r="A3425" s="159" t="s">
        <v>264</v>
      </c>
      <c r="B3425" s="114" t="str">
        <f>VLOOKUP(A3425,'Data pick slip'!B:F,5,FALSE)</f>
        <v>KHJ-MC200-00</v>
      </c>
      <c r="F3425" s="157" t="s">
        <v>227</v>
      </c>
      <c r="H3425" s="138">
        <v>1635</v>
      </c>
      <c r="I3425" s="139" t="e">
        <f>VLOOKUP(H3425,Stock_list!A:R,18,FALSE)</f>
        <v>#N/A</v>
      </c>
      <c r="J3425" s="139" t="e">
        <f>VLOOKUP(H3425,Stock_list!A:S,17,FALSE)</f>
        <v>#N/A</v>
      </c>
      <c r="K3425" s="51" t="e">
        <f>VLOOKUP(H3425,Stock_list!A:T,16,FALSE)</f>
        <v>#N/A</v>
      </c>
      <c r="L3425" s="4">
        <v>44706</v>
      </c>
      <c r="M3425" s="132">
        <v>10</v>
      </c>
      <c r="P3425" s="4" t="e">
        <f>VLOOKUP(H3425,Stock_list!A:Y,25,FALSE)</f>
        <v>#N/A</v>
      </c>
      <c r="Q3425" s="143"/>
      <c r="T3425" s="144"/>
      <c r="U3425" s="145" t="e">
        <f>VLOOKUP(H3425,Stock_list!A:N,14,FALSE)</f>
        <v>#N/A</v>
      </c>
    </row>
    <row r="3426" spans="1:21" ht="16.5" customHeight="1">
      <c r="A3426" s="159" t="s">
        <v>265</v>
      </c>
      <c r="B3426" s="114" t="str">
        <f>VLOOKUP(A3426,'Data pick slip'!B:F,5,FALSE)</f>
        <v>KHJ-MC400-00</v>
      </c>
      <c r="F3426" s="157" t="s">
        <v>227</v>
      </c>
      <c r="H3426" s="138">
        <v>1635</v>
      </c>
      <c r="I3426" s="139" t="e">
        <f>VLOOKUP(H3426,Stock_list!A:R,18,FALSE)</f>
        <v>#N/A</v>
      </c>
      <c r="J3426" s="139" t="e">
        <f>VLOOKUP(H3426,Stock_list!A:S,17,FALSE)</f>
        <v>#N/A</v>
      </c>
      <c r="K3426" s="51" t="e">
        <f>VLOOKUP(H3426,Stock_list!A:T,16,FALSE)</f>
        <v>#N/A</v>
      </c>
      <c r="L3426" s="4">
        <v>44706</v>
      </c>
      <c r="M3426" s="132">
        <v>3</v>
      </c>
      <c r="P3426" s="4" t="e">
        <f>VLOOKUP(H3426,Stock_list!A:Y,25,FALSE)</f>
        <v>#N/A</v>
      </c>
      <c r="Q3426" s="143"/>
      <c r="T3426" s="144"/>
      <c r="U3426" s="145" t="e">
        <f>VLOOKUP(H3426,Stock_list!A:N,14,FALSE)</f>
        <v>#N/A</v>
      </c>
    </row>
    <row r="3427" spans="1:21" ht="16.5" customHeight="1">
      <c r="A3427" s="159" t="s">
        <v>261</v>
      </c>
      <c r="B3427" s="114" t="str">
        <f>VLOOKUP(A3427,'Data pick slip'!B:F,5,FALSE)</f>
        <v>KHJ-MC100-00</v>
      </c>
      <c r="F3427" s="157" t="s">
        <v>270</v>
      </c>
      <c r="H3427" s="138">
        <v>1636</v>
      </c>
      <c r="I3427" s="139" t="e">
        <f>VLOOKUP(H3427,Stock_list!A:R,18,FALSE)</f>
        <v>#N/A</v>
      </c>
      <c r="J3427" s="139" t="e">
        <f>VLOOKUP(H3427,Stock_list!A:S,17,FALSE)</f>
        <v>#N/A</v>
      </c>
      <c r="K3427" s="51" t="e">
        <f>VLOOKUP(H3427,Stock_list!A:T,16,FALSE)</f>
        <v>#N/A</v>
      </c>
      <c r="L3427" s="4">
        <v>44679</v>
      </c>
      <c r="M3427" s="132">
        <v>35</v>
      </c>
      <c r="P3427" s="4" t="e">
        <f>VLOOKUP(H3427,Stock_list!A:Y,25,FALSE)</f>
        <v>#N/A</v>
      </c>
      <c r="Q3427" s="143"/>
      <c r="T3427" s="144"/>
      <c r="U3427" s="145" t="e">
        <f>VLOOKUP(H3427,Stock_list!A:N,14,FALSE)</f>
        <v>#N/A</v>
      </c>
    </row>
    <row r="3428" spans="1:21" ht="16.5" customHeight="1">
      <c r="A3428" s="159" t="s">
        <v>264</v>
      </c>
      <c r="B3428" s="114" t="str">
        <f>VLOOKUP(A3428,'Data pick slip'!B:F,5,FALSE)</f>
        <v>KHJ-MC200-00</v>
      </c>
      <c r="F3428" s="157" t="s">
        <v>270</v>
      </c>
      <c r="H3428" s="138">
        <v>1636</v>
      </c>
      <c r="I3428" s="139" t="e">
        <f>VLOOKUP(H3428,Stock_list!A:R,18,FALSE)</f>
        <v>#N/A</v>
      </c>
      <c r="J3428" s="139" t="e">
        <f>VLOOKUP(H3428,Stock_list!A:S,17,FALSE)</f>
        <v>#N/A</v>
      </c>
      <c r="K3428" s="51" t="e">
        <f>VLOOKUP(H3428,Stock_list!A:T,16,FALSE)</f>
        <v>#N/A</v>
      </c>
      <c r="L3428" s="4">
        <v>44679</v>
      </c>
      <c r="M3428" s="132">
        <v>4</v>
      </c>
      <c r="P3428" s="4" t="e">
        <f>VLOOKUP(H3428,Stock_list!A:Y,25,FALSE)</f>
        <v>#N/A</v>
      </c>
      <c r="Q3428" s="143"/>
      <c r="T3428" s="144"/>
      <c r="U3428" s="145" t="e">
        <f>VLOOKUP(H3428,Stock_list!A:N,14,FALSE)</f>
        <v>#N/A</v>
      </c>
    </row>
    <row r="3429" spans="1:21" ht="16.5" customHeight="1">
      <c r="A3429" s="159" t="s">
        <v>265</v>
      </c>
      <c r="B3429" s="114" t="str">
        <f>VLOOKUP(A3429,'Data pick slip'!B:F,5,FALSE)</f>
        <v>KHJ-MC400-00</v>
      </c>
      <c r="F3429" s="157" t="s">
        <v>270</v>
      </c>
      <c r="H3429" s="138">
        <v>1636</v>
      </c>
      <c r="I3429" s="139" t="e">
        <f>VLOOKUP(H3429,Stock_list!A:R,18,FALSE)</f>
        <v>#N/A</v>
      </c>
      <c r="J3429" s="139" t="e">
        <f>VLOOKUP(H3429,Stock_list!A:S,17,FALSE)</f>
        <v>#N/A</v>
      </c>
      <c r="K3429" s="51" t="e">
        <f>VLOOKUP(H3429,Stock_list!A:T,16,FALSE)</f>
        <v>#N/A</v>
      </c>
      <c r="L3429" s="4">
        <v>44679</v>
      </c>
      <c r="M3429" s="132">
        <v>2</v>
      </c>
      <c r="P3429" s="4" t="e">
        <f>VLOOKUP(H3429,Stock_list!A:Y,25,FALSE)</f>
        <v>#N/A</v>
      </c>
      <c r="Q3429" s="143"/>
      <c r="T3429" s="144"/>
      <c r="U3429" s="145" t="e">
        <f>VLOOKUP(H3429,Stock_list!A:N,14,FALSE)</f>
        <v>#N/A</v>
      </c>
    </row>
    <row r="3430" spans="1:21" ht="16.5" customHeight="1">
      <c r="A3430" s="159" t="s">
        <v>261</v>
      </c>
      <c r="B3430" s="114" t="str">
        <f>VLOOKUP(A3430,'Data pick slip'!B:F,5,FALSE)</f>
        <v>KHJ-MC100-00</v>
      </c>
      <c r="F3430" s="157" t="s">
        <v>227</v>
      </c>
      <c r="H3430" s="138">
        <v>1637</v>
      </c>
      <c r="I3430" s="139" t="e">
        <f>VLOOKUP(H3430,Stock_list!A:R,18,FALSE)</f>
        <v>#N/A</v>
      </c>
      <c r="J3430" s="139" t="e">
        <f>VLOOKUP(H3430,Stock_list!A:S,17,FALSE)</f>
        <v>#N/A</v>
      </c>
      <c r="K3430" s="51" t="e">
        <f>VLOOKUP(H3430,Stock_list!A:T,16,FALSE)</f>
        <v>#N/A</v>
      </c>
      <c r="L3430" s="4">
        <v>44713</v>
      </c>
      <c r="M3430" s="132">
        <v>20</v>
      </c>
      <c r="P3430" s="4" t="e">
        <f>VLOOKUP(H3430,Stock_list!A:Y,25,FALSE)</f>
        <v>#N/A</v>
      </c>
      <c r="Q3430" s="143"/>
      <c r="T3430" s="144"/>
      <c r="U3430" s="145" t="e">
        <f>VLOOKUP(H3430,Stock_list!A:N,14,FALSE)</f>
        <v>#N/A</v>
      </c>
    </row>
    <row r="3431" spans="1:21" ht="16.5" customHeight="1">
      <c r="A3431" s="159" t="s">
        <v>264</v>
      </c>
      <c r="B3431" s="114" t="str">
        <f>VLOOKUP(A3431,'Data pick slip'!B:F,5,FALSE)</f>
        <v>KHJ-MC200-00</v>
      </c>
      <c r="F3431" s="157" t="s">
        <v>227</v>
      </c>
      <c r="H3431" s="138">
        <v>1637</v>
      </c>
      <c r="I3431" s="139" t="e">
        <f>VLOOKUP(H3431,Stock_list!A:R,18,FALSE)</f>
        <v>#N/A</v>
      </c>
      <c r="J3431" s="139" t="e">
        <f>VLOOKUP(H3431,Stock_list!A:S,17,FALSE)</f>
        <v>#N/A</v>
      </c>
      <c r="K3431" s="51" t="e">
        <f>VLOOKUP(H3431,Stock_list!A:T,16,FALSE)</f>
        <v>#N/A</v>
      </c>
      <c r="L3431" s="4">
        <v>44713</v>
      </c>
      <c r="M3431" s="132">
        <v>12</v>
      </c>
      <c r="P3431" s="4" t="e">
        <f>VLOOKUP(H3431,Stock_list!A:Y,25,FALSE)</f>
        <v>#N/A</v>
      </c>
      <c r="Q3431" s="143"/>
      <c r="T3431" s="144"/>
      <c r="U3431" s="145" t="e">
        <f>VLOOKUP(H3431,Stock_list!A:N,14,FALSE)</f>
        <v>#N/A</v>
      </c>
    </row>
    <row r="3432" spans="1:21" ht="16.5" customHeight="1">
      <c r="A3432" s="159" t="s">
        <v>265</v>
      </c>
      <c r="B3432" s="114" t="str">
        <f>VLOOKUP(A3432,'Data pick slip'!B:F,5,FALSE)</f>
        <v>KHJ-MC400-00</v>
      </c>
      <c r="F3432" s="157" t="s">
        <v>227</v>
      </c>
      <c r="H3432" s="138">
        <v>1637</v>
      </c>
      <c r="I3432" s="139" t="e">
        <f>VLOOKUP(H3432,Stock_list!A:R,18,FALSE)</f>
        <v>#N/A</v>
      </c>
      <c r="J3432" s="139" t="e">
        <f>VLOOKUP(H3432,Stock_list!A:S,17,FALSE)</f>
        <v>#N/A</v>
      </c>
      <c r="K3432" s="51" t="e">
        <f>VLOOKUP(H3432,Stock_list!A:T,16,FALSE)</f>
        <v>#N/A</v>
      </c>
      <c r="L3432" s="4">
        <v>44713</v>
      </c>
      <c r="M3432" s="132">
        <v>2</v>
      </c>
      <c r="P3432" s="4" t="e">
        <f>VLOOKUP(H3432,Stock_list!A:Y,25,FALSE)</f>
        <v>#N/A</v>
      </c>
      <c r="Q3432" s="143"/>
      <c r="T3432" s="144"/>
      <c r="U3432" s="145" t="e">
        <f>VLOOKUP(H3432,Stock_list!A:N,14,FALSE)</f>
        <v>#N/A</v>
      </c>
    </row>
    <row r="3433" spans="1:21" ht="16.5" customHeight="1">
      <c r="A3433" s="159" t="s">
        <v>261</v>
      </c>
      <c r="B3433" s="114" t="str">
        <f>VLOOKUP(A3433,'Data pick slip'!B:F,5,FALSE)</f>
        <v>KHJ-MC100-00</v>
      </c>
      <c r="F3433" s="157" t="s">
        <v>227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264</v>
      </c>
      <c r="B3434" s="114" t="str">
        <f>VLOOKUP(A3434,'Data pick slip'!B:F,5,FALSE)</f>
        <v>KHJ-MC200-00</v>
      </c>
      <c r="F3434" s="157" t="s">
        <v>227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265</v>
      </c>
      <c r="B3435" s="114" t="str">
        <f>VLOOKUP(A3435,'Data pick slip'!B:F,5,FALSE)</f>
        <v>KHJ-MC400-00</v>
      </c>
      <c r="F3435" s="157" t="s">
        <v>227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266</v>
      </c>
      <c r="B3436" s="114" t="str">
        <f>VLOOKUP(A3436,'Data pick slip'!B:F,5,FALSE)</f>
        <v>KHJ-MC500-00</v>
      </c>
      <c r="F3436" s="157" t="s">
        <v>227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261</v>
      </c>
      <c r="B3437" s="114" t="str">
        <f>VLOOKUP(A3437,'Data pick slip'!B:F,5,FALSE)</f>
        <v>KHJ-MC100-00</v>
      </c>
      <c r="F3437" s="157" t="s">
        <v>270</v>
      </c>
      <c r="I3437" s="139" t="s">
        <v>611</v>
      </c>
      <c r="J3437" s="139" t="s">
        <v>1027</v>
      </c>
      <c r="K3437" s="51" t="s">
        <v>225</v>
      </c>
      <c r="L3437" s="4">
        <v>44670</v>
      </c>
      <c r="M3437" s="140">
        <v>41</v>
      </c>
      <c r="P3437" s="4" t="s">
        <v>214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261</v>
      </c>
      <c r="B3438" s="114" t="str">
        <f>VLOOKUP(A3438,'Data pick slip'!B:F,5,FALSE)</f>
        <v>KHJ-MC100-00</v>
      </c>
      <c r="F3438" s="157" t="s">
        <v>270</v>
      </c>
      <c r="I3438" s="139" t="s">
        <v>611</v>
      </c>
      <c r="J3438" s="267" t="s">
        <v>1028</v>
      </c>
      <c r="K3438" s="51" t="s">
        <v>225</v>
      </c>
      <c r="L3438" s="4">
        <v>44670</v>
      </c>
      <c r="M3438" s="140">
        <v>50</v>
      </c>
      <c r="P3438" s="4" t="s">
        <v>214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261</v>
      </c>
      <c r="B3439" s="114" t="str">
        <f>VLOOKUP(A3439,'Data pick slip'!B:F,5,FALSE)</f>
        <v>KHJ-MC100-00</v>
      </c>
      <c r="F3439" s="157" t="s">
        <v>227</v>
      </c>
      <c r="I3439" s="269" t="s">
        <v>931</v>
      </c>
      <c r="J3439" s="139" t="s">
        <v>1029</v>
      </c>
      <c r="K3439" s="51" t="s">
        <v>225</v>
      </c>
      <c r="L3439" s="4">
        <v>44657</v>
      </c>
      <c r="M3439" s="140">
        <v>30</v>
      </c>
      <c r="P3439" s="4" t="s">
        <v>214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264</v>
      </c>
      <c r="B3440" s="114" t="str">
        <f>VLOOKUP(A3440,'Data pick slip'!B:F,5,FALSE)</f>
        <v>KHJ-MC200-00</v>
      </c>
      <c r="F3440" s="157" t="s">
        <v>227</v>
      </c>
      <c r="I3440" s="269" t="s">
        <v>931</v>
      </c>
      <c r="J3440" s="139" t="s">
        <v>1029</v>
      </c>
      <c r="K3440" s="51" t="s">
        <v>225</v>
      </c>
      <c r="L3440" s="4">
        <v>44657</v>
      </c>
      <c r="M3440" s="140">
        <v>20</v>
      </c>
      <c r="P3440" s="4" t="s">
        <v>214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261</v>
      </c>
      <c r="B3441" s="114" t="str">
        <f>VLOOKUP(A3441,'Data pick slip'!B:F,5,FALSE)</f>
        <v>KHJ-MC100-00</v>
      </c>
      <c r="F3441" s="157" t="s">
        <v>227</v>
      </c>
      <c r="I3441" s="269" t="s">
        <v>931</v>
      </c>
      <c r="J3441" s="139" t="s">
        <v>1030</v>
      </c>
      <c r="K3441" s="51" t="s">
        <v>225</v>
      </c>
      <c r="L3441" s="4">
        <v>44669</v>
      </c>
      <c r="M3441" s="140">
        <v>340</v>
      </c>
      <c r="P3441" s="4" t="s">
        <v>214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274</v>
      </c>
      <c r="B3442" s="114" t="str">
        <f>VLOOKUP(A3442,'Data pick slip'!B:F,5,FALSE)</f>
        <v>KLJ-MC400-00</v>
      </c>
      <c r="F3442" s="157" t="s">
        <v>227</v>
      </c>
      <c r="I3442" s="269" t="s">
        <v>931</v>
      </c>
      <c r="J3442" s="139" t="s">
        <v>1030</v>
      </c>
      <c r="K3442" s="51" t="s">
        <v>225</v>
      </c>
      <c r="L3442" s="4">
        <v>44669</v>
      </c>
      <c r="M3442" s="140">
        <v>14</v>
      </c>
      <c r="P3442" s="4" t="s">
        <v>214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268</v>
      </c>
      <c r="B3443" s="114" t="str">
        <f>VLOOKUP(A3443,'Data pick slip'!B:F,5,FALSE)</f>
        <v>KHJ-MC700-00</v>
      </c>
      <c r="F3443" s="157" t="s">
        <v>227</v>
      </c>
      <c r="I3443" s="269" t="s">
        <v>931</v>
      </c>
      <c r="J3443" s="139" t="s">
        <v>1030</v>
      </c>
      <c r="K3443" s="51" t="s">
        <v>225</v>
      </c>
      <c r="L3443" s="4">
        <v>44669</v>
      </c>
      <c r="M3443" s="140">
        <v>4</v>
      </c>
      <c r="P3443" s="4" t="s">
        <v>214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269</v>
      </c>
      <c r="B3444" s="114" t="str">
        <f>VLOOKUP(A3444,'Data pick slip'!B:F,5,FALSE)</f>
        <v>KHJ-MC800-00</v>
      </c>
      <c r="F3444" s="157" t="s">
        <v>227</v>
      </c>
      <c r="I3444" s="269" t="s">
        <v>931</v>
      </c>
      <c r="J3444" s="139" t="s">
        <v>1030</v>
      </c>
      <c r="K3444" s="51" t="s">
        <v>225</v>
      </c>
      <c r="L3444" s="4">
        <v>44669</v>
      </c>
      <c r="M3444" s="140">
        <v>2</v>
      </c>
      <c r="P3444" s="4" t="s">
        <v>214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272</v>
      </c>
      <c r="B3445" s="114" t="str">
        <f>VLOOKUP(A3445,'Data pick slip'!B:F,5,FALSE)</f>
        <v>KLJ-MC100-00</v>
      </c>
      <c r="F3445" s="157" t="s">
        <v>227</v>
      </c>
      <c r="H3445" s="138">
        <v>1643</v>
      </c>
      <c r="I3445" s="139" t="e">
        <f>VLOOKUP(H3445,Stock_list!A:R,18,FALSE)</f>
        <v>#N/A</v>
      </c>
      <c r="J3445" s="139" t="e">
        <f>VLOOKUP(H3445,Stock_list!A:S,17,FALSE)</f>
        <v>#N/A</v>
      </c>
      <c r="K3445" s="51" t="e">
        <f>VLOOKUP(H3445,Stock_list!A:T,16,FALSE)</f>
        <v>#N/A</v>
      </c>
      <c r="L3445" s="4">
        <v>44726</v>
      </c>
      <c r="M3445" s="140">
        <v>13</v>
      </c>
      <c r="P3445" s="4" t="e">
        <f>VLOOKUP(H3445,Stock_list!A:Y,25,FALSE)</f>
        <v>#N/A</v>
      </c>
      <c r="Q3445" s="143"/>
      <c r="T3445" s="144"/>
      <c r="U3445" s="145" t="e">
        <f>VLOOKUP(H3445,Stock_list!A:N,14,FALSE)</f>
        <v>#N/A</v>
      </c>
    </row>
    <row r="3446" spans="1:21" ht="16.5" customHeight="1">
      <c r="A3446" s="159" t="s">
        <v>272</v>
      </c>
      <c r="B3446" s="114" t="str">
        <f>VLOOKUP(A3446,'Data pick slip'!B:F,5,FALSE)</f>
        <v>KLJ-MC100-00</v>
      </c>
      <c r="F3446" s="157" t="s">
        <v>227</v>
      </c>
      <c r="H3446" s="138">
        <v>1643</v>
      </c>
      <c r="I3446" s="139" t="e">
        <f>VLOOKUP(H3446,Stock_list!A:R,18,FALSE)</f>
        <v>#N/A</v>
      </c>
      <c r="J3446" s="139" t="e">
        <f>VLOOKUP(H3446,Stock_list!A:S,17,FALSE)</f>
        <v>#N/A</v>
      </c>
      <c r="K3446" s="51" t="e">
        <f>VLOOKUP(H3446,Stock_list!A:T,16,FALSE)</f>
        <v>#N/A</v>
      </c>
      <c r="L3446" s="4">
        <v>44785</v>
      </c>
      <c r="M3446" s="140">
        <v>12</v>
      </c>
      <c r="P3446" s="4" t="e">
        <f>VLOOKUP(H3446,Stock_list!A:Y,25,FALSE)</f>
        <v>#N/A</v>
      </c>
      <c r="Q3446" s="143"/>
      <c r="T3446" s="144"/>
      <c r="U3446" s="145" t="e">
        <f>VLOOKUP(H3446,Stock_list!A:N,14,FALSE)</f>
        <v>#N/A</v>
      </c>
    </row>
    <row r="3447" spans="1:21" ht="16.5" customHeight="1">
      <c r="A3447" s="159" t="s">
        <v>272</v>
      </c>
      <c r="B3447" s="114" t="str">
        <f>VLOOKUP(A3447,'Data pick slip'!B:F,5,FALSE)</f>
        <v>KLJ-MC100-00</v>
      </c>
      <c r="F3447" s="157" t="s">
        <v>279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264</v>
      </c>
      <c r="B3448" s="114" t="str">
        <f>VLOOKUP(A3448,'Data pick slip'!B:F,5,FALSE)</f>
        <v>KHJ-MC200-00</v>
      </c>
      <c r="F3448" s="157" t="s">
        <v>290</v>
      </c>
      <c r="H3448" s="138">
        <v>1651</v>
      </c>
      <c r="I3448" s="139" t="e">
        <f>VLOOKUP(H3448,Stock_list!A:R,18,FALSE)</f>
        <v>#N/A</v>
      </c>
      <c r="J3448" s="139" t="e">
        <f>VLOOKUP(H3448,Stock_list!A:S,17,FALSE)</f>
        <v>#N/A</v>
      </c>
      <c r="K3448" s="51" t="e">
        <f>VLOOKUP(H3448,Stock_list!A:T,16,FALSE)</f>
        <v>#N/A</v>
      </c>
      <c r="L3448" s="4">
        <v>44714</v>
      </c>
      <c r="M3448" s="140">
        <v>2</v>
      </c>
      <c r="P3448" s="4" t="e">
        <f>VLOOKUP(H3448,Stock_list!A:Y,25,FALSE)</f>
        <v>#N/A</v>
      </c>
      <c r="Q3448" s="143"/>
      <c r="T3448" s="144"/>
      <c r="U3448" s="145" t="e">
        <f>VLOOKUP(H3448,Stock_list!A:N,14,FALSE)</f>
        <v>#N/A</v>
      </c>
    </row>
    <row r="3449" spans="1:21" ht="16.5" customHeight="1">
      <c r="A3449" s="159" t="s">
        <v>265</v>
      </c>
      <c r="B3449" s="114" t="str">
        <f>VLOOKUP(A3449,'Data pick slip'!B:F,5,FALSE)</f>
        <v>KHJ-MC400-00</v>
      </c>
      <c r="F3449" s="157" t="s">
        <v>290</v>
      </c>
      <c r="H3449" s="138">
        <v>1651</v>
      </c>
      <c r="I3449" s="139" t="e">
        <f>VLOOKUP(H3449,Stock_list!A:R,18,FALSE)</f>
        <v>#N/A</v>
      </c>
      <c r="J3449" s="139" t="e">
        <f>VLOOKUP(H3449,Stock_list!A:S,17,FALSE)</f>
        <v>#N/A</v>
      </c>
      <c r="K3449" s="51" t="e">
        <f>VLOOKUP(H3449,Stock_list!A:T,16,FALSE)</f>
        <v>#N/A</v>
      </c>
      <c r="L3449" s="4">
        <v>44714</v>
      </c>
      <c r="M3449" s="140">
        <v>2</v>
      </c>
      <c r="P3449" s="4" t="e">
        <f>VLOOKUP(H3449,Stock_list!A:Y,25,FALSE)</f>
        <v>#N/A</v>
      </c>
      <c r="Q3449" s="143"/>
      <c r="T3449" s="144"/>
      <c r="U3449" s="145" t="e">
        <f>VLOOKUP(H3449,Stock_list!A:N,14,FALSE)</f>
        <v>#N/A</v>
      </c>
    </row>
    <row r="3450" spans="1:21" ht="16.5" customHeight="1">
      <c r="A3450" s="159" t="s">
        <v>261</v>
      </c>
      <c r="B3450" s="114" t="str">
        <f>VLOOKUP(A3450,'Data pick slip'!B:F,5,FALSE)</f>
        <v>KHJ-MC100-00</v>
      </c>
      <c r="F3450" s="157" t="s">
        <v>227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264</v>
      </c>
      <c r="B3451" s="114" t="str">
        <f>VLOOKUP(A3451,'Data pick slip'!B:F,5,FALSE)</f>
        <v>KHJ-MC200-00</v>
      </c>
      <c r="F3451" s="157" t="s">
        <v>227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265</v>
      </c>
      <c r="B3452" s="114" t="str">
        <f>VLOOKUP(A3452,'Data pick slip'!B:F,5,FALSE)</f>
        <v>KHJ-MC400-00</v>
      </c>
      <c r="F3452" s="157" t="s">
        <v>227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266</v>
      </c>
      <c r="B3453" s="114" t="str">
        <f>VLOOKUP(A3453,'Data pick slip'!B:F,5,FALSE)</f>
        <v>KHJ-MC500-00</v>
      </c>
      <c r="F3453" s="157" t="s">
        <v>227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267</v>
      </c>
      <c r="B3454" s="114" t="str">
        <f>VLOOKUP(A3454,'Data pick slip'!B:F,5,FALSE)</f>
        <v>KHJ-MC600-00</v>
      </c>
      <c r="F3454" s="157" t="s">
        <v>227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271</v>
      </c>
      <c r="B3455" s="114" t="str">
        <f>VLOOKUP(A3455,'Data pick slip'!B:F,5,FALSE)</f>
        <v>KLJ-MCN00-20</v>
      </c>
      <c r="F3455" s="157" t="s">
        <v>290</v>
      </c>
      <c r="H3455" s="138">
        <v>1656</v>
      </c>
      <c r="I3455" s="139" t="e">
        <f>VLOOKUP(H3455,Stock_list!A:R,18,FALSE)</f>
        <v>#N/A</v>
      </c>
      <c r="J3455" s="139" t="e">
        <f>VLOOKUP(H3455,Stock_list!A:S,17,FALSE)</f>
        <v>#N/A</v>
      </c>
      <c r="K3455" s="51" t="e">
        <f>VLOOKUP(H3455,Stock_list!A:T,16,FALSE)</f>
        <v>#N/A</v>
      </c>
      <c r="L3455" s="4"/>
      <c r="N3455" s="132">
        <v>2</v>
      </c>
      <c r="P3455" s="4" t="e">
        <f>VLOOKUP(H3455,Stock_list!A:Y,25,FALSE)</f>
        <v>#N/A</v>
      </c>
      <c r="T3455" s="144"/>
      <c r="U3455" s="145"/>
    </row>
    <row r="3456" spans="1:21" ht="16.5" customHeight="1">
      <c r="A3456" s="159" t="s">
        <v>261</v>
      </c>
      <c r="B3456" s="114" t="str">
        <f>VLOOKUP(A3456,'Data pick slip'!B:F,5,FALSE)</f>
        <v>KHJ-MC100-00</v>
      </c>
      <c r="F3456" s="157" t="s">
        <v>290</v>
      </c>
      <c r="H3456" s="138">
        <v>1656</v>
      </c>
      <c r="I3456" s="139" t="e">
        <f>VLOOKUP(H3456,Stock_list!A:R,18,FALSE)</f>
        <v>#N/A</v>
      </c>
      <c r="J3456" s="139" t="e">
        <f>VLOOKUP(H3456,Stock_list!A:S,17,FALSE)</f>
        <v>#N/A</v>
      </c>
      <c r="K3456" s="51" t="e">
        <f>VLOOKUP(H3456,Stock_list!A:T,16,FALSE)</f>
        <v>#N/A</v>
      </c>
      <c r="L3456" s="4"/>
      <c r="N3456" s="132">
        <v>80</v>
      </c>
      <c r="P3456" s="4" t="e">
        <f>VLOOKUP(H3456,Stock_list!A:Y,25,FALSE)</f>
        <v>#N/A</v>
      </c>
      <c r="T3456" s="144"/>
      <c r="U3456" s="145"/>
    </row>
    <row r="3457" spans="1:21" ht="16.5" customHeight="1">
      <c r="A3457" s="159" t="s">
        <v>264</v>
      </c>
      <c r="B3457" s="114" t="str">
        <f>VLOOKUP(A3457,'Data pick slip'!B:F,5,FALSE)</f>
        <v>KHJ-MC200-00</v>
      </c>
      <c r="F3457" s="157" t="s">
        <v>290</v>
      </c>
      <c r="H3457" s="138">
        <v>1656</v>
      </c>
      <c r="I3457" s="139" t="e">
        <f>VLOOKUP(H3457,Stock_list!A:R,18,FALSE)</f>
        <v>#N/A</v>
      </c>
      <c r="J3457" s="139" t="e">
        <f>VLOOKUP(H3457,Stock_list!A:S,17,FALSE)</f>
        <v>#N/A</v>
      </c>
      <c r="K3457" s="51" t="e">
        <f>VLOOKUP(H3457,Stock_list!A:T,16,FALSE)</f>
        <v>#N/A</v>
      </c>
      <c r="L3457" s="4"/>
      <c r="N3457" s="132">
        <v>20</v>
      </c>
      <c r="P3457" s="4" t="e">
        <f>VLOOKUP(H3457,Stock_list!A:Y,25,FALSE)</f>
        <v>#N/A</v>
      </c>
      <c r="T3457" s="144"/>
      <c r="U3457" s="145"/>
    </row>
    <row r="3458" spans="1:21" ht="16.5" customHeight="1">
      <c r="A3458" s="159" t="s">
        <v>265</v>
      </c>
      <c r="B3458" s="114" t="str">
        <f>VLOOKUP(A3458,'Data pick slip'!B:F,5,FALSE)</f>
        <v>KHJ-MC400-00</v>
      </c>
      <c r="F3458" s="157" t="s">
        <v>290</v>
      </c>
      <c r="H3458" s="138">
        <v>1656</v>
      </c>
      <c r="I3458" s="139" t="e">
        <f>VLOOKUP(H3458,Stock_list!A:R,18,FALSE)</f>
        <v>#N/A</v>
      </c>
      <c r="J3458" s="139" t="e">
        <f>VLOOKUP(H3458,Stock_list!A:S,17,FALSE)</f>
        <v>#N/A</v>
      </c>
      <c r="K3458" s="51" t="e">
        <f>VLOOKUP(H3458,Stock_list!A:T,16,FALSE)</f>
        <v>#N/A</v>
      </c>
      <c r="L3458" s="4"/>
      <c r="N3458" s="132">
        <v>10</v>
      </c>
      <c r="P3458" s="4" t="e">
        <f>VLOOKUP(H3458,Stock_list!A:Y,25,FALSE)</f>
        <v>#N/A</v>
      </c>
      <c r="T3458" s="144"/>
      <c r="U3458" s="145"/>
    </row>
    <row r="3459" spans="1:21" ht="16.5" customHeight="1">
      <c r="A3459" s="159" t="s">
        <v>266</v>
      </c>
      <c r="B3459" s="114" t="str">
        <f>VLOOKUP(A3459,'Data pick slip'!B:F,5,FALSE)</f>
        <v>KHJ-MC500-00</v>
      </c>
      <c r="F3459" s="157" t="s">
        <v>290</v>
      </c>
      <c r="H3459" s="138">
        <v>1656</v>
      </c>
      <c r="I3459" s="139" t="e">
        <f>VLOOKUP(H3459,Stock_list!A:R,18,FALSE)</f>
        <v>#N/A</v>
      </c>
      <c r="J3459" s="139" t="e">
        <f>VLOOKUP(H3459,Stock_list!A:S,17,FALSE)</f>
        <v>#N/A</v>
      </c>
      <c r="K3459" s="51" t="e">
        <f>VLOOKUP(H3459,Stock_list!A:T,16,FALSE)</f>
        <v>#N/A</v>
      </c>
      <c r="L3459" s="4"/>
      <c r="N3459" s="132">
        <v>2</v>
      </c>
      <c r="P3459" s="4" t="e">
        <f>VLOOKUP(H3459,Stock_list!A:Y,25,FALSE)</f>
        <v>#N/A</v>
      </c>
      <c r="T3459" s="144"/>
      <c r="U3459" s="145"/>
    </row>
    <row r="3460" spans="1:21" ht="16.5" customHeight="1">
      <c r="A3460" s="159" t="s">
        <v>267</v>
      </c>
      <c r="B3460" s="114" t="str">
        <f>VLOOKUP(A3460,'Data pick slip'!B:F,5,FALSE)</f>
        <v>KHJ-MC600-00</v>
      </c>
      <c r="F3460" s="157" t="s">
        <v>290</v>
      </c>
      <c r="H3460" s="138">
        <v>1656</v>
      </c>
      <c r="I3460" s="139" t="e">
        <f>VLOOKUP(H3460,Stock_list!A:R,18,FALSE)</f>
        <v>#N/A</v>
      </c>
      <c r="J3460" s="139" t="e">
        <f>VLOOKUP(H3460,Stock_list!A:S,17,FALSE)</f>
        <v>#N/A</v>
      </c>
      <c r="K3460" s="51" t="e">
        <f>VLOOKUP(H3460,Stock_list!A:T,16,FALSE)</f>
        <v>#N/A</v>
      </c>
      <c r="L3460" s="4"/>
      <c r="N3460" s="132">
        <v>1</v>
      </c>
      <c r="P3460" s="4" t="e">
        <f>VLOOKUP(H3460,Stock_list!A:Y,25,FALSE)</f>
        <v>#N/A</v>
      </c>
      <c r="T3460" s="144"/>
      <c r="U3460" s="145"/>
    </row>
    <row r="3461" spans="1:21" ht="16.5" customHeight="1">
      <c r="A3461" s="159" t="s">
        <v>268</v>
      </c>
      <c r="B3461" s="114" t="str">
        <f>VLOOKUP(A3461,'Data pick slip'!B:F,5,FALSE)</f>
        <v>KHJ-MC700-00</v>
      </c>
      <c r="F3461" s="157" t="s">
        <v>290</v>
      </c>
      <c r="H3461" s="138">
        <v>1656</v>
      </c>
      <c r="I3461" s="139" t="e">
        <f>VLOOKUP(H3461,Stock_list!A:R,18,FALSE)</f>
        <v>#N/A</v>
      </c>
      <c r="J3461" s="139" t="e">
        <f>VLOOKUP(H3461,Stock_list!A:S,17,FALSE)</f>
        <v>#N/A</v>
      </c>
      <c r="K3461" s="51" t="e">
        <f>VLOOKUP(H3461,Stock_list!A:T,16,FALSE)</f>
        <v>#N/A</v>
      </c>
      <c r="L3461" s="4"/>
      <c r="N3461" s="132">
        <v>1</v>
      </c>
      <c r="P3461" s="4" t="e">
        <f>VLOOKUP(H3461,Stock_list!A:Y,25,FALSE)</f>
        <v>#N/A</v>
      </c>
      <c r="T3461" s="144"/>
      <c r="U3461" s="145"/>
    </row>
    <row r="3462" spans="1:21" ht="16.5" customHeight="1">
      <c r="A3462" s="159" t="s">
        <v>266</v>
      </c>
      <c r="B3462" s="114" t="str">
        <f>VLOOKUP(A3462,'Data pick slip'!B:F,5,FALSE)</f>
        <v>KHJ-MC500-00</v>
      </c>
      <c r="F3462" s="157" t="s">
        <v>270</v>
      </c>
      <c r="I3462" s="139" t="s">
        <v>611</v>
      </c>
      <c r="J3462" s="270" t="s">
        <v>1031</v>
      </c>
      <c r="K3462" s="51" t="s">
        <v>225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264</v>
      </c>
      <c r="B3463" s="114" t="str">
        <f>VLOOKUP(A3463,'Data pick slip'!B:F,5,FALSE)</f>
        <v>KHJ-MC200-00</v>
      </c>
      <c r="F3463" s="157" t="s">
        <v>270</v>
      </c>
      <c r="I3463" s="139" t="s">
        <v>633</v>
      </c>
      <c r="J3463" s="139" t="s">
        <v>1032</v>
      </c>
      <c r="K3463" s="51" t="s">
        <v>225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261</v>
      </c>
      <c r="B3464" s="114" t="str">
        <f>VLOOKUP(A3464,'Data pick slip'!B:F,5,FALSE)</f>
        <v>KHJ-MC100-00</v>
      </c>
      <c r="F3464" s="157" t="s">
        <v>227</v>
      </c>
      <c r="H3464" s="138">
        <v>1275</v>
      </c>
      <c r="I3464" s="139" t="e">
        <f>VLOOKUP(H3464,Stock_list!A:R,18,FALSE)</f>
        <v>#N/A</v>
      </c>
      <c r="J3464" s="139" t="e">
        <f>VLOOKUP(H3464,Stock_list!A:S,17,FALSE)</f>
        <v>#N/A</v>
      </c>
      <c r="K3464" s="51" t="e">
        <f>VLOOKUP(H3464,Stock_list!A:T,16,FALSE)</f>
        <v>#N/A</v>
      </c>
      <c r="L3464" s="4">
        <v>44690</v>
      </c>
      <c r="M3464" s="140">
        <v>40</v>
      </c>
      <c r="P3464" s="4" t="e">
        <f>VLOOKUP(H3464,Stock_list!A:Y,25,FALSE)</f>
        <v>#N/A</v>
      </c>
      <c r="Q3464" s="143"/>
      <c r="T3464" s="144"/>
      <c r="U3464" s="145" t="e">
        <f>VLOOKUP(H3464,Stock_list!A:N,14,FALSE)</f>
        <v>#N/A</v>
      </c>
    </row>
    <row r="3465" spans="1:21" ht="16.5" customHeight="1">
      <c r="A3465" s="159" t="s">
        <v>264</v>
      </c>
      <c r="B3465" s="114" t="str">
        <f>VLOOKUP(A3465,'Data pick slip'!B:F,5,FALSE)</f>
        <v>KHJ-MC200-00</v>
      </c>
      <c r="F3465" s="157" t="s">
        <v>227</v>
      </c>
      <c r="I3465" s="139" t="s">
        <v>371</v>
      </c>
      <c r="J3465" s="267" t="s">
        <v>1033</v>
      </c>
      <c r="K3465" s="51" t="s">
        <v>520</v>
      </c>
      <c r="L3465" s="4">
        <v>44691</v>
      </c>
      <c r="M3465" s="140">
        <v>3</v>
      </c>
      <c r="P3465" s="4" t="s">
        <v>214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261</v>
      </c>
      <c r="B3466" s="114" t="str">
        <f>VLOOKUP(A3466,'Data pick slip'!B:F,5,FALSE)</f>
        <v>KHJ-MC100-00</v>
      </c>
      <c r="F3466" s="157" t="s">
        <v>227</v>
      </c>
      <c r="H3466" s="138">
        <v>1666</v>
      </c>
      <c r="I3466" s="139" t="e">
        <f>VLOOKUP(H3466,Stock_list!A:R,18,FALSE)</f>
        <v>#N/A</v>
      </c>
      <c r="J3466" s="139" t="e">
        <f>VLOOKUP(H3466,Stock_list!A:S,17,FALSE)</f>
        <v>#N/A</v>
      </c>
      <c r="K3466" s="51" t="e">
        <f>VLOOKUP(H3466,Stock_list!A:T,16,FALSE)</f>
        <v>#N/A</v>
      </c>
      <c r="L3466" s="4">
        <v>44737</v>
      </c>
      <c r="M3466" s="328">
        <v>41</v>
      </c>
      <c r="P3466" s="4" t="e">
        <f>VLOOKUP(H3466,Stock_list!A:Y,25,FALSE)</f>
        <v>#N/A</v>
      </c>
      <c r="Q3466" s="143"/>
      <c r="T3466" s="144"/>
      <c r="U3466" s="145" t="e">
        <f>VLOOKUP(H3466,Stock_list!A:N,14,FALSE)</f>
        <v>#N/A</v>
      </c>
    </row>
    <row r="3467" spans="1:21" ht="16.5" customHeight="1">
      <c r="A3467" s="159" t="s">
        <v>264</v>
      </c>
      <c r="B3467" s="114" t="str">
        <f>VLOOKUP(A3467,'Data pick slip'!B:F,5,FALSE)</f>
        <v>KHJ-MC200-00</v>
      </c>
      <c r="F3467" s="157" t="s">
        <v>227</v>
      </c>
      <c r="H3467" s="138">
        <v>1666</v>
      </c>
      <c r="I3467" s="139" t="e">
        <f>VLOOKUP(H3467,Stock_list!A:R,18,FALSE)</f>
        <v>#N/A</v>
      </c>
      <c r="J3467" s="139" t="e">
        <f>VLOOKUP(H3467,Stock_list!A:S,17,FALSE)</f>
        <v>#N/A</v>
      </c>
      <c r="K3467" s="51" t="e">
        <f>VLOOKUP(H3467,Stock_list!A:T,16,FALSE)</f>
        <v>#N/A</v>
      </c>
      <c r="L3467" s="4">
        <v>44737</v>
      </c>
      <c r="M3467" s="328">
        <v>15</v>
      </c>
      <c r="P3467" s="4" t="e">
        <f>VLOOKUP(H3467,Stock_list!A:Y,25,FALSE)</f>
        <v>#N/A</v>
      </c>
      <c r="Q3467" s="143"/>
      <c r="T3467" s="144"/>
      <c r="U3467" s="145" t="e">
        <f>VLOOKUP(H3467,Stock_list!A:N,14,FALSE)</f>
        <v>#N/A</v>
      </c>
    </row>
    <row r="3468" spans="1:21" ht="16.5" customHeight="1">
      <c r="A3468" s="159" t="s">
        <v>265</v>
      </c>
      <c r="B3468" s="114" t="str">
        <f>VLOOKUP(A3468,'Data pick slip'!B:F,5,FALSE)</f>
        <v>KHJ-MC400-00</v>
      </c>
      <c r="F3468" s="157" t="s">
        <v>227</v>
      </c>
      <c r="H3468" s="138">
        <v>1666</v>
      </c>
      <c r="I3468" s="139" t="e">
        <f>VLOOKUP(H3468,Stock_list!A:R,18,FALSE)</f>
        <v>#N/A</v>
      </c>
      <c r="J3468" s="139" t="e">
        <f>VLOOKUP(H3468,Stock_list!A:S,17,FALSE)</f>
        <v>#N/A</v>
      </c>
      <c r="K3468" s="51" t="e">
        <f>VLOOKUP(H3468,Stock_list!A:T,16,FALSE)</f>
        <v>#N/A</v>
      </c>
      <c r="L3468" s="4">
        <v>44737</v>
      </c>
      <c r="M3468" s="328">
        <v>4</v>
      </c>
      <c r="P3468" s="4" t="e">
        <f>VLOOKUP(H3468,Stock_list!A:Y,25,FALSE)</f>
        <v>#N/A</v>
      </c>
      <c r="Q3468" s="143"/>
      <c r="T3468" s="144"/>
      <c r="U3468" s="145" t="e">
        <f>VLOOKUP(H3468,Stock_list!A:N,14,FALSE)</f>
        <v>#N/A</v>
      </c>
    </row>
    <row r="3469" spans="1:21" ht="16.5" customHeight="1">
      <c r="A3469" s="159" t="s">
        <v>261</v>
      </c>
      <c r="B3469" s="114" t="str">
        <f>VLOOKUP(A3469,'Data pick slip'!B:F,5,FALSE)</f>
        <v>KHJ-MC100-00</v>
      </c>
      <c r="F3469" s="157" t="s">
        <v>227</v>
      </c>
      <c r="H3469" s="138">
        <v>1667</v>
      </c>
      <c r="I3469" s="139" t="e">
        <f>VLOOKUP(H3469,Stock_list!A:R,18,FALSE)</f>
        <v>#N/A</v>
      </c>
      <c r="J3469" s="139" t="e">
        <f>VLOOKUP(H3469,Stock_list!A:S,17,FALSE)</f>
        <v>#N/A</v>
      </c>
      <c r="K3469" s="51" t="e">
        <f>VLOOKUP(H3469,Stock_list!A:T,16,FALSE)</f>
        <v>#N/A</v>
      </c>
      <c r="L3469" s="4">
        <v>44727</v>
      </c>
      <c r="M3469" s="132">
        <v>50</v>
      </c>
      <c r="P3469" s="4" t="e">
        <f>VLOOKUP(H3469,Stock_list!A:Y,25,FALSE)</f>
        <v>#N/A</v>
      </c>
      <c r="Q3469" s="143"/>
      <c r="T3469" s="144"/>
      <c r="U3469" s="145" t="e">
        <f>VLOOKUP(H3469,Stock_list!A:N,14,FALSE)</f>
        <v>#N/A</v>
      </c>
    </row>
    <row r="3470" spans="1:21" ht="16.5" customHeight="1">
      <c r="A3470" s="159" t="s">
        <v>264</v>
      </c>
      <c r="B3470" s="114" t="str">
        <f>VLOOKUP(A3470,'Data pick slip'!B:F,5,FALSE)</f>
        <v>KHJ-MC200-00</v>
      </c>
      <c r="F3470" s="157" t="s">
        <v>227</v>
      </c>
      <c r="H3470" s="138">
        <v>1667</v>
      </c>
      <c r="I3470" s="139" t="e">
        <f>VLOOKUP(H3470,Stock_list!A:R,18,FALSE)</f>
        <v>#N/A</v>
      </c>
      <c r="J3470" s="139" t="e">
        <f>VLOOKUP(H3470,Stock_list!A:S,17,FALSE)</f>
        <v>#N/A</v>
      </c>
      <c r="K3470" s="51" t="e">
        <f>VLOOKUP(H3470,Stock_list!A:T,16,FALSE)</f>
        <v>#N/A</v>
      </c>
      <c r="L3470" s="4">
        <v>44727</v>
      </c>
      <c r="M3470" s="132">
        <v>10</v>
      </c>
      <c r="P3470" s="4" t="e">
        <f>VLOOKUP(H3470,Stock_list!A:Y,25,FALSE)</f>
        <v>#N/A</v>
      </c>
      <c r="Q3470" s="143"/>
      <c r="T3470" s="144"/>
      <c r="U3470" s="145" t="e">
        <f>VLOOKUP(H3470,Stock_list!A:N,14,FALSE)</f>
        <v>#N/A</v>
      </c>
    </row>
    <row r="3471" spans="1:21" ht="16.5" customHeight="1">
      <c r="A3471" s="159" t="s">
        <v>265</v>
      </c>
      <c r="B3471" s="114" t="str">
        <f>VLOOKUP(A3471,'Data pick slip'!B:F,5,FALSE)</f>
        <v>KHJ-MC400-00</v>
      </c>
      <c r="F3471" s="157" t="s">
        <v>227</v>
      </c>
      <c r="H3471" s="138">
        <v>1667</v>
      </c>
      <c r="I3471" s="139" t="e">
        <f>VLOOKUP(H3471,Stock_list!A:R,18,FALSE)</f>
        <v>#N/A</v>
      </c>
      <c r="J3471" s="139" t="e">
        <f>VLOOKUP(H3471,Stock_list!A:S,17,FALSE)</f>
        <v>#N/A</v>
      </c>
      <c r="K3471" s="51" t="e">
        <f>VLOOKUP(H3471,Stock_list!A:T,16,FALSE)</f>
        <v>#N/A</v>
      </c>
      <c r="L3471" s="4">
        <v>44727</v>
      </c>
      <c r="M3471" s="132">
        <v>2</v>
      </c>
      <c r="P3471" s="4" t="e">
        <f>VLOOKUP(H3471,Stock_list!A:Y,25,FALSE)</f>
        <v>#N/A</v>
      </c>
      <c r="Q3471" s="143"/>
      <c r="T3471" s="144"/>
      <c r="U3471" s="145" t="e">
        <f>VLOOKUP(H3471,Stock_list!A:N,14,FALSE)</f>
        <v>#N/A</v>
      </c>
    </row>
    <row r="3472" spans="1:21" ht="16.5" customHeight="1">
      <c r="A3472" s="159" t="s">
        <v>261</v>
      </c>
      <c r="B3472" s="114" t="str">
        <f>VLOOKUP(A3472,'Data pick slip'!B:F,5,FALSE)</f>
        <v>KHJ-MC100-00</v>
      </c>
      <c r="F3472" s="157" t="s">
        <v>227</v>
      </c>
      <c r="I3472" s="269" t="s">
        <v>931</v>
      </c>
      <c r="J3472" s="139" t="s">
        <v>1034</v>
      </c>
      <c r="K3472" s="51" t="s">
        <v>225</v>
      </c>
      <c r="L3472" s="4">
        <v>44692</v>
      </c>
      <c r="M3472" s="322">
        <v>410</v>
      </c>
      <c r="P3472" s="4" t="s">
        <v>214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264</v>
      </c>
      <c r="B3473" s="114" t="str">
        <f>VLOOKUP(A3473,'Data pick slip'!B:F,5,FALSE)</f>
        <v>KHJ-MC200-00</v>
      </c>
      <c r="F3473" s="157" t="s">
        <v>227</v>
      </c>
      <c r="I3473" s="269" t="s">
        <v>931</v>
      </c>
      <c r="J3473" s="139" t="s">
        <v>1034</v>
      </c>
      <c r="K3473" s="51" t="s">
        <v>225</v>
      </c>
      <c r="L3473" s="4">
        <v>44692</v>
      </c>
      <c r="M3473" s="322">
        <v>110</v>
      </c>
      <c r="P3473" s="4" t="s">
        <v>214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265</v>
      </c>
      <c r="B3474" s="114" t="str">
        <f>VLOOKUP(A3474,'Data pick slip'!B:F,5,FALSE)</f>
        <v>KHJ-MC400-00</v>
      </c>
      <c r="F3474" s="157" t="s">
        <v>227</v>
      </c>
      <c r="I3474" s="269" t="s">
        <v>931</v>
      </c>
      <c r="J3474" s="139" t="s">
        <v>1034</v>
      </c>
      <c r="K3474" s="51" t="s">
        <v>225</v>
      </c>
      <c r="L3474" s="4">
        <v>44692</v>
      </c>
      <c r="M3474" s="322">
        <v>10</v>
      </c>
      <c r="P3474" s="4" t="s">
        <v>214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268</v>
      </c>
      <c r="B3475" s="114" t="str">
        <f>VLOOKUP(A3475,'Data pick slip'!B:F,5,FALSE)</f>
        <v>KHJ-MC700-00</v>
      </c>
      <c r="F3475" s="157" t="s">
        <v>227</v>
      </c>
      <c r="I3475" s="269" t="s">
        <v>931</v>
      </c>
      <c r="J3475" s="139" t="s">
        <v>1034</v>
      </c>
      <c r="K3475" s="51" t="s">
        <v>225</v>
      </c>
      <c r="L3475" s="4">
        <v>44692</v>
      </c>
      <c r="M3475" s="322">
        <v>5</v>
      </c>
      <c r="P3475" s="4" t="s">
        <v>214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261</v>
      </c>
      <c r="B3476" s="114" t="str">
        <f>VLOOKUP(A3476,'Data pick slip'!B:F,5,FALSE)</f>
        <v>KHJ-MC100-00</v>
      </c>
      <c r="F3476" s="157" t="s">
        <v>227</v>
      </c>
      <c r="I3476" s="269" t="s">
        <v>931</v>
      </c>
      <c r="J3476" s="139" t="s">
        <v>1035</v>
      </c>
      <c r="K3476" s="51" t="s">
        <v>225</v>
      </c>
      <c r="L3476" s="4">
        <v>44695</v>
      </c>
      <c r="M3476" s="322">
        <v>140</v>
      </c>
      <c r="P3476" s="4" t="s">
        <v>214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264</v>
      </c>
      <c r="B3477" s="114" t="str">
        <f>VLOOKUP(A3477,'Data pick slip'!B:F,5,FALSE)</f>
        <v>KHJ-MC200-00</v>
      </c>
      <c r="F3477" s="157" t="s">
        <v>227</v>
      </c>
      <c r="I3477" s="269" t="s">
        <v>931</v>
      </c>
      <c r="J3477" s="139" t="s">
        <v>1035</v>
      </c>
      <c r="K3477" s="51" t="s">
        <v>225</v>
      </c>
      <c r="L3477" s="4">
        <v>44695</v>
      </c>
      <c r="M3477" s="322">
        <v>36</v>
      </c>
      <c r="P3477" s="4" t="s">
        <v>214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265</v>
      </c>
      <c r="B3478" s="114" t="str">
        <f>VLOOKUP(A3478,'Data pick slip'!B:F,5,FALSE)</f>
        <v>KHJ-MC400-00</v>
      </c>
      <c r="F3478" s="157" t="s">
        <v>227</v>
      </c>
      <c r="I3478" s="269" t="s">
        <v>931</v>
      </c>
      <c r="J3478" s="139" t="s">
        <v>1035</v>
      </c>
      <c r="K3478" s="51" t="s">
        <v>225</v>
      </c>
      <c r="L3478" s="4">
        <v>44695</v>
      </c>
      <c r="M3478" s="322">
        <v>4</v>
      </c>
      <c r="P3478" s="4" t="s">
        <v>214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272</v>
      </c>
      <c r="B3479" s="114" t="str">
        <f>VLOOKUP(A3479,'Data pick slip'!B:F,5,FALSE)</f>
        <v>KLJ-MC100-00</v>
      </c>
      <c r="F3479" s="157" t="s">
        <v>227</v>
      </c>
      <c r="I3479" s="269" t="s">
        <v>931</v>
      </c>
      <c r="J3479" s="139" t="s">
        <v>1035</v>
      </c>
      <c r="K3479" s="51" t="s">
        <v>225</v>
      </c>
      <c r="L3479" s="4">
        <v>44695</v>
      </c>
      <c r="M3479" s="322">
        <v>20</v>
      </c>
      <c r="P3479" s="4" t="s">
        <v>214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261</v>
      </c>
      <c r="B3480" s="114" t="str">
        <f>VLOOKUP(A3480,'Data pick slip'!B:F,5,FALSE)</f>
        <v>KHJ-MC100-00</v>
      </c>
      <c r="F3480" s="157" t="s">
        <v>227</v>
      </c>
      <c r="I3480" s="269" t="s">
        <v>931</v>
      </c>
      <c r="J3480" s="139" t="s">
        <v>1036</v>
      </c>
      <c r="K3480" s="51" t="s">
        <v>225</v>
      </c>
      <c r="L3480" s="4">
        <v>44701</v>
      </c>
      <c r="M3480" s="322">
        <v>180</v>
      </c>
      <c r="P3480" s="4" t="s">
        <v>214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264</v>
      </c>
      <c r="B3481" s="114" t="str">
        <f>VLOOKUP(A3481,'Data pick slip'!B:F,5,FALSE)</f>
        <v>KHJ-MC200-00</v>
      </c>
      <c r="F3481" s="157" t="s">
        <v>227</v>
      </c>
      <c r="I3481" s="269" t="s">
        <v>931</v>
      </c>
      <c r="J3481" s="139" t="s">
        <v>1036</v>
      </c>
      <c r="K3481" s="51" t="s">
        <v>225</v>
      </c>
      <c r="L3481" s="4">
        <v>44701</v>
      </c>
      <c r="M3481" s="322">
        <v>30</v>
      </c>
      <c r="P3481" s="4" t="s">
        <v>214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265</v>
      </c>
      <c r="B3482" s="114" t="str">
        <f>VLOOKUP(A3482,'Data pick slip'!B:F,5,FALSE)</f>
        <v>KHJ-MC400-00</v>
      </c>
      <c r="F3482" s="157" t="s">
        <v>227</v>
      </c>
      <c r="I3482" s="269" t="s">
        <v>931</v>
      </c>
      <c r="J3482" s="139" t="s">
        <v>1036</v>
      </c>
      <c r="K3482" s="51" t="s">
        <v>225</v>
      </c>
      <c r="L3482" s="4">
        <v>44701</v>
      </c>
      <c r="M3482" s="322">
        <v>8</v>
      </c>
      <c r="P3482" s="4" t="s">
        <v>214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267</v>
      </c>
      <c r="B3483" s="114" t="str">
        <f>VLOOKUP(A3483,'Data pick slip'!B:F,5,FALSE)</f>
        <v>KHJ-MC600-00</v>
      </c>
      <c r="F3483" s="157" t="s">
        <v>227</v>
      </c>
      <c r="I3483" s="269" t="s">
        <v>931</v>
      </c>
      <c r="J3483" s="139" t="s">
        <v>1036</v>
      </c>
      <c r="K3483" s="51" t="s">
        <v>225</v>
      </c>
      <c r="L3483" s="4">
        <v>44701</v>
      </c>
      <c r="M3483" s="322">
        <v>10</v>
      </c>
      <c r="P3483" s="4" t="s">
        <v>214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268</v>
      </c>
      <c r="B3484" s="114" t="str">
        <f>VLOOKUP(A3484,'Data pick slip'!B:F,5,FALSE)</f>
        <v>KHJ-MC700-00</v>
      </c>
      <c r="F3484" s="157" t="s">
        <v>227</v>
      </c>
      <c r="I3484" s="269" t="s">
        <v>931</v>
      </c>
      <c r="J3484" s="139" t="s">
        <v>1036</v>
      </c>
      <c r="K3484" s="51" t="s">
        <v>225</v>
      </c>
      <c r="L3484" s="4">
        <v>44701</v>
      </c>
      <c r="M3484" s="171">
        <v>2</v>
      </c>
      <c r="P3484" s="4" t="s">
        <v>214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261</v>
      </c>
      <c r="B3485" s="114" t="str">
        <f>VLOOKUP(A3485,'Data pick slip'!B:F,5,FALSE)</f>
        <v>KHJ-MC100-00</v>
      </c>
      <c r="F3485" s="157" t="s">
        <v>270</v>
      </c>
      <c r="I3485" s="139" t="s">
        <v>623</v>
      </c>
      <c r="J3485" s="139" t="s">
        <v>1037</v>
      </c>
      <c r="K3485" s="51" t="s">
        <v>225</v>
      </c>
      <c r="L3485" s="4">
        <v>44705</v>
      </c>
      <c r="M3485" s="140">
        <v>350</v>
      </c>
      <c r="P3485" s="4" t="s">
        <v>214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264</v>
      </c>
      <c r="B3486" s="114" t="str">
        <f>VLOOKUP(A3486,'Data pick slip'!B:F,5,FALSE)</f>
        <v>KHJ-MC200-00</v>
      </c>
      <c r="F3486" s="157" t="s">
        <v>270</v>
      </c>
      <c r="I3486" s="139" t="s">
        <v>623</v>
      </c>
      <c r="J3486" s="139" t="s">
        <v>1037</v>
      </c>
      <c r="K3486" s="51" t="s">
        <v>225</v>
      </c>
      <c r="L3486" s="4">
        <v>44705</v>
      </c>
      <c r="M3486" s="140">
        <v>180</v>
      </c>
      <c r="P3486" s="4" t="s">
        <v>214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265</v>
      </c>
      <c r="B3487" s="114" t="str">
        <f>VLOOKUP(A3487,'Data pick slip'!B:F,5,FALSE)</f>
        <v>KHJ-MC400-00</v>
      </c>
      <c r="F3487" s="157" t="s">
        <v>270</v>
      </c>
      <c r="I3487" s="139" t="s">
        <v>623</v>
      </c>
      <c r="J3487" s="139" t="s">
        <v>1037</v>
      </c>
      <c r="K3487" s="51" t="s">
        <v>225</v>
      </c>
      <c r="L3487" s="4">
        <v>44705</v>
      </c>
      <c r="M3487" s="140">
        <v>30</v>
      </c>
      <c r="P3487" s="4" t="s">
        <v>214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266</v>
      </c>
      <c r="B3488" s="114" t="str">
        <f>VLOOKUP(A3488,'Data pick slip'!B:F,5,FALSE)</f>
        <v>KHJ-MC500-00</v>
      </c>
      <c r="F3488" s="157" t="s">
        <v>270</v>
      </c>
      <c r="I3488" s="139" t="s">
        <v>623</v>
      </c>
      <c r="J3488" s="139" t="s">
        <v>1037</v>
      </c>
      <c r="K3488" s="51" t="s">
        <v>225</v>
      </c>
      <c r="L3488" s="4">
        <v>44705</v>
      </c>
      <c r="M3488" s="140">
        <v>25</v>
      </c>
      <c r="P3488" s="4" t="s">
        <v>214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267</v>
      </c>
      <c r="B3489" s="114" t="str">
        <f>VLOOKUP(A3489,'Data pick slip'!B:F,5,FALSE)</f>
        <v>KHJ-MC600-00</v>
      </c>
      <c r="F3489" s="157" t="s">
        <v>270</v>
      </c>
      <c r="I3489" s="139" t="s">
        <v>623</v>
      </c>
      <c r="J3489" s="139" t="s">
        <v>1037</v>
      </c>
      <c r="K3489" s="51" t="s">
        <v>225</v>
      </c>
      <c r="L3489" s="4">
        <v>44705</v>
      </c>
      <c r="M3489" s="140">
        <v>15</v>
      </c>
      <c r="P3489" s="4" t="s">
        <v>214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268</v>
      </c>
      <c r="B3490" s="114" t="str">
        <f>VLOOKUP(A3490,'Data pick slip'!B:F,5,FALSE)</f>
        <v>KHJ-MC700-00</v>
      </c>
      <c r="F3490" s="157" t="s">
        <v>270</v>
      </c>
      <c r="I3490" s="139" t="s">
        <v>623</v>
      </c>
      <c r="J3490" s="139" t="s">
        <v>1037</v>
      </c>
      <c r="K3490" s="51" t="s">
        <v>225</v>
      </c>
      <c r="L3490" s="4">
        <v>44705</v>
      </c>
      <c r="M3490" s="140">
        <v>5</v>
      </c>
      <c r="P3490" s="4" t="s">
        <v>214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273</v>
      </c>
      <c r="B3491" s="114" t="str">
        <f>VLOOKUP(A3491,'Data pick slip'!B:F,5,FALSE)</f>
        <v>KLJ-MC200-00</v>
      </c>
      <c r="F3491" s="157" t="s">
        <v>270</v>
      </c>
      <c r="I3491" s="139" t="s">
        <v>623</v>
      </c>
      <c r="J3491" s="139" t="s">
        <v>1037</v>
      </c>
      <c r="K3491" s="51" t="s">
        <v>225</v>
      </c>
      <c r="L3491" s="4">
        <v>44705</v>
      </c>
      <c r="M3491" s="140">
        <v>10</v>
      </c>
      <c r="P3491" s="4" t="s">
        <v>214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261</v>
      </c>
      <c r="B3492" s="114" t="str">
        <f>VLOOKUP(A3492,'Data pick slip'!B:F,5,FALSE)</f>
        <v>KHJ-MC100-00</v>
      </c>
      <c r="F3492" s="157" t="s">
        <v>227</v>
      </c>
      <c r="H3492" s="138">
        <v>1672</v>
      </c>
      <c r="I3492" s="139" t="e">
        <f>VLOOKUP(H3492,Stock_list!A:R,18,FALSE)</f>
        <v>#N/A</v>
      </c>
      <c r="J3492" s="139" t="e">
        <f>VLOOKUP(H3492,Stock_list!A:S,17,FALSE)</f>
        <v>#N/A</v>
      </c>
      <c r="K3492" s="51" t="e">
        <f>VLOOKUP(H3492,Stock_list!A:T,16,FALSE)</f>
        <v>#N/A</v>
      </c>
      <c r="L3492" s="4">
        <v>44755</v>
      </c>
      <c r="M3492" s="143">
        <v>60</v>
      </c>
      <c r="P3492" s="4" t="e">
        <f>VLOOKUP(H3492,Stock_list!A:Y,25,FALSE)</f>
        <v>#N/A</v>
      </c>
      <c r="T3492" s="144"/>
      <c r="U3492" s="145" t="e">
        <f>VLOOKUP(H3492,Stock_list!A:N,14,FALSE)</f>
        <v>#N/A</v>
      </c>
    </row>
    <row r="3493" spans="1:21" ht="16.5" customHeight="1">
      <c r="A3493" s="159" t="s">
        <v>264</v>
      </c>
      <c r="B3493" s="114" t="str">
        <f>VLOOKUP(A3493,'Data pick slip'!B:F,5,FALSE)</f>
        <v>KHJ-MC200-00</v>
      </c>
      <c r="F3493" s="157" t="s">
        <v>227</v>
      </c>
      <c r="H3493" s="138">
        <v>1672</v>
      </c>
      <c r="I3493" s="139" t="e">
        <f>VLOOKUP(H3493,Stock_list!A:R,18,FALSE)</f>
        <v>#N/A</v>
      </c>
      <c r="J3493" s="139" t="e">
        <f>VLOOKUP(H3493,Stock_list!A:S,17,FALSE)</f>
        <v>#N/A</v>
      </c>
      <c r="K3493" s="51" t="e">
        <f>VLOOKUP(H3493,Stock_list!A:T,16,FALSE)</f>
        <v>#N/A</v>
      </c>
      <c r="L3493" s="4">
        <v>44755</v>
      </c>
      <c r="M3493" s="143">
        <v>5</v>
      </c>
      <c r="P3493" s="4" t="e">
        <f>VLOOKUP(H3493,Stock_list!A:Y,25,FALSE)</f>
        <v>#N/A</v>
      </c>
      <c r="T3493" s="144"/>
      <c r="U3493" s="145" t="e">
        <f>VLOOKUP(H3493,Stock_list!A:N,14,FALSE)</f>
        <v>#N/A</v>
      </c>
    </row>
    <row r="3494" spans="1:21" ht="16.5" customHeight="1">
      <c r="A3494" s="159" t="s">
        <v>265</v>
      </c>
      <c r="B3494" s="114" t="str">
        <f>VLOOKUP(A3494,'Data pick slip'!B:F,5,FALSE)</f>
        <v>KHJ-MC400-00</v>
      </c>
      <c r="F3494" s="157" t="s">
        <v>227</v>
      </c>
      <c r="H3494" s="138">
        <v>1672</v>
      </c>
      <c r="I3494" s="139" t="e">
        <f>VLOOKUP(H3494,Stock_list!A:R,18,FALSE)</f>
        <v>#N/A</v>
      </c>
      <c r="J3494" s="139" t="e">
        <f>VLOOKUP(H3494,Stock_list!A:S,17,FALSE)</f>
        <v>#N/A</v>
      </c>
      <c r="K3494" s="51" t="e">
        <f>VLOOKUP(H3494,Stock_list!A:T,16,FALSE)</f>
        <v>#N/A</v>
      </c>
      <c r="L3494" s="4">
        <v>44755</v>
      </c>
      <c r="M3494" s="143">
        <v>4</v>
      </c>
      <c r="P3494" s="4" t="e">
        <f>VLOOKUP(H3494,Stock_list!A:Y,25,FALSE)</f>
        <v>#N/A</v>
      </c>
      <c r="T3494" s="144"/>
      <c r="U3494" s="145" t="e">
        <f>VLOOKUP(H3494,Stock_list!A:N,14,FALSE)</f>
        <v>#N/A</v>
      </c>
    </row>
    <row r="3495" spans="1:21" ht="16.5" customHeight="1">
      <c r="A3495" s="159" t="s">
        <v>261</v>
      </c>
      <c r="B3495" s="114" t="str">
        <f>VLOOKUP(A3495,'Data pick slip'!B:F,5,FALSE)</f>
        <v>KHJ-MC100-00</v>
      </c>
      <c r="F3495" s="157" t="s">
        <v>270</v>
      </c>
      <c r="H3495" s="138">
        <v>1674</v>
      </c>
      <c r="I3495" s="139" t="e">
        <f>VLOOKUP(H3495,Stock_list!A:R,18,FALSE)</f>
        <v>#N/A</v>
      </c>
      <c r="J3495" s="139" t="e">
        <f>VLOOKUP(H3495,Stock_list!A:S,17,FALSE)</f>
        <v>#N/A</v>
      </c>
      <c r="K3495" s="51" t="e">
        <f>VLOOKUP(H3495,Stock_list!A:T,16,FALSE)</f>
        <v>#N/A</v>
      </c>
      <c r="L3495" s="4">
        <v>44732</v>
      </c>
      <c r="M3495" s="140">
        <v>22</v>
      </c>
      <c r="P3495" s="4" t="e">
        <f>VLOOKUP(H3495,Stock_list!A:Y,25,FALSE)</f>
        <v>#N/A</v>
      </c>
      <c r="Q3495" s="143"/>
      <c r="T3495" s="144"/>
      <c r="U3495" s="145" t="e">
        <f>VLOOKUP(H3495,Stock_list!A:N,14,FALSE)</f>
        <v>#N/A</v>
      </c>
    </row>
    <row r="3496" spans="1:21" ht="16.5" customHeight="1">
      <c r="A3496" s="159" t="s">
        <v>261</v>
      </c>
      <c r="B3496" s="114" t="str">
        <f>VLOOKUP(A3496,'Data pick slip'!B:F,5,FALSE)</f>
        <v>KHJ-MC100-00</v>
      </c>
      <c r="F3496" s="157" t="s">
        <v>227</v>
      </c>
      <c r="H3496" s="138">
        <v>1675</v>
      </c>
      <c r="I3496" s="139" t="e">
        <f>VLOOKUP(H3496,Stock_list!A:R,18,FALSE)</f>
        <v>#N/A</v>
      </c>
      <c r="J3496" s="139" t="e">
        <f>VLOOKUP(H3496,Stock_list!A:S,17,FALSE)</f>
        <v>#N/A</v>
      </c>
      <c r="K3496" s="51" t="e">
        <f>VLOOKUP(H3496,Stock_list!A:T,16,FALSE)</f>
        <v>#N/A</v>
      </c>
      <c r="L3496" s="4">
        <v>44804</v>
      </c>
      <c r="M3496" s="140">
        <v>46</v>
      </c>
      <c r="P3496" s="4" t="e">
        <f>VLOOKUP(H3496,Stock_list!A:Y,25,FALSE)</f>
        <v>#N/A</v>
      </c>
      <c r="Q3496" s="143"/>
      <c r="T3496" s="144"/>
      <c r="U3496" s="145" t="e">
        <f>VLOOKUP(H3496,Stock_list!A:N,14,FALSE)</f>
        <v>#N/A</v>
      </c>
    </row>
    <row r="3497" spans="1:21" ht="16.5" customHeight="1">
      <c r="A3497" s="159" t="s">
        <v>264</v>
      </c>
      <c r="B3497" s="114" t="str">
        <f>VLOOKUP(A3497,'Data pick slip'!B:F,5,FALSE)</f>
        <v>KHJ-MC200-00</v>
      </c>
      <c r="F3497" s="157" t="s">
        <v>227</v>
      </c>
      <c r="H3497" s="138">
        <v>1675</v>
      </c>
      <c r="I3497" s="139" t="e">
        <f>VLOOKUP(H3497,Stock_list!A:R,18,FALSE)</f>
        <v>#N/A</v>
      </c>
      <c r="J3497" s="139" t="e">
        <f>VLOOKUP(H3497,Stock_list!A:S,17,FALSE)</f>
        <v>#N/A</v>
      </c>
      <c r="K3497" s="51" t="e">
        <f>VLOOKUP(H3497,Stock_list!A:T,16,FALSE)</f>
        <v>#N/A</v>
      </c>
      <c r="L3497" s="4">
        <v>44804</v>
      </c>
      <c r="M3497" s="140">
        <v>25</v>
      </c>
      <c r="P3497" s="4" t="e">
        <f>VLOOKUP(H3497,Stock_list!A:Y,25,FALSE)</f>
        <v>#N/A</v>
      </c>
      <c r="Q3497" s="143"/>
      <c r="T3497" s="144"/>
      <c r="U3497" s="145" t="e">
        <f>VLOOKUP(H3497,Stock_list!A:N,14,FALSE)</f>
        <v>#N/A</v>
      </c>
    </row>
    <row r="3498" spans="1:21" ht="16.5" customHeight="1">
      <c r="A3498" s="159" t="s">
        <v>261</v>
      </c>
      <c r="B3498" s="114" t="str">
        <f>VLOOKUP(A3498,'Data pick slip'!B:F,5,FALSE)</f>
        <v>KHJ-MC100-00</v>
      </c>
      <c r="F3498" s="157" t="s">
        <v>270</v>
      </c>
      <c r="H3498" s="138">
        <v>1677</v>
      </c>
      <c r="I3498" s="139" t="e">
        <f>VLOOKUP(H3498,Stock_list!A:R,18,FALSE)</f>
        <v>#N/A</v>
      </c>
      <c r="J3498" s="139" t="e">
        <f>VLOOKUP(H3498,Stock_list!A:S,17,FALSE)</f>
        <v>#N/A</v>
      </c>
      <c r="K3498" s="51" t="e">
        <f>VLOOKUP(H3498,Stock_list!A:T,16,FALSE)</f>
        <v>#N/A</v>
      </c>
      <c r="L3498" s="4">
        <v>44733</v>
      </c>
      <c r="M3498" s="140">
        <v>2</v>
      </c>
      <c r="P3498" s="4" t="e">
        <f>VLOOKUP(H3498,Stock_list!A:Y,25,FALSE)</f>
        <v>#N/A</v>
      </c>
      <c r="Q3498" s="143"/>
      <c r="T3498" s="144"/>
      <c r="U3498" s="145" t="e">
        <f>VLOOKUP(H3498,Stock_list!A:N,14,FALSE)</f>
        <v>#N/A</v>
      </c>
    </row>
    <row r="3499" spans="1:21" ht="16.5" customHeight="1">
      <c r="A3499" s="159" t="s">
        <v>261</v>
      </c>
      <c r="B3499" s="114" t="str">
        <f>VLOOKUP(A3499,'Data pick slip'!B:F,5,FALSE)</f>
        <v>KHJ-MC100-00</v>
      </c>
      <c r="F3499" s="157" t="s">
        <v>270</v>
      </c>
      <c r="H3499" s="138">
        <v>1678</v>
      </c>
      <c r="I3499" s="139" t="e">
        <f>VLOOKUP(H3499,Stock_list!A:R,18,FALSE)</f>
        <v>#N/A</v>
      </c>
      <c r="J3499" s="139" t="e">
        <f>VLOOKUP(H3499,Stock_list!A:S,17,FALSE)</f>
        <v>#N/A</v>
      </c>
      <c r="K3499" s="51" t="e">
        <f>VLOOKUP(H3499,Stock_list!A:T,16,FALSE)</f>
        <v>#N/A</v>
      </c>
      <c r="L3499" s="4">
        <v>44725</v>
      </c>
      <c r="M3499" s="140">
        <v>70</v>
      </c>
      <c r="P3499" s="4" t="e">
        <f>VLOOKUP(H3499,Stock_list!A:Y,25,FALSE)</f>
        <v>#N/A</v>
      </c>
      <c r="Q3499" s="143"/>
      <c r="T3499" s="144"/>
      <c r="U3499" s="145" t="e">
        <f>VLOOKUP(H3499,Stock_list!A:N,14,FALSE)</f>
        <v>#N/A</v>
      </c>
    </row>
    <row r="3500" spans="1:21" ht="16.5" customHeight="1">
      <c r="A3500" s="159" t="s">
        <v>265</v>
      </c>
      <c r="B3500" s="114" t="str">
        <f>VLOOKUP(A3500,'Data pick slip'!B:F,5,FALSE)</f>
        <v>KHJ-MC400-00</v>
      </c>
      <c r="F3500" s="157" t="s">
        <v>270</v>
      </c>
      <c r="H3500" s="138">
        <v>1678</v>
      </c>
      <c r="I3500" s="139" t="e">
        <f>VLOOKUP(H3500,Stock_list!A:R,18,FALSE)</f>
        <v>#N/A</v>
      </c>
      <c r="J3500" s="139" t="e">
        <f>VLOOKUP(H3500,Stock_list!A:S,17,FALSE)</f>
        <v>#N/A</v>
      </c>
      <c r="K3500" s="51" t="e">
        <f>VLOOKUP(H3500,Stock_list!A:T,16,FALSE)</f>
        <v>#N/A</v>
      </c>
      <c r="L3500" s="4">
        <v>44725</v>
      </c>
      <c r="M3500" s="140">
        <v>5</v>
      </c>
      <c r="P3500" s="4" t="e">
        <f>VLOOKUP(H3500,Stock_list!A:Y,25,FALSE)</f>
        <v>#N/A</v>
      </c>
      <c r="Q3500" s="143"/>
      <c r="T3500" s="144"/>
      <c r="U3500" s="145" t="e">
        <f>VLOOKUP(H3500,Stock_list!A:N,14,FALSE)</f>
        <v>#N/A</v>
      </c>
    </row>
    <row r="3501" spans="1:21" ht="16.5" customHeight="1">
      <c r="A3501" s="159" t="s">
        <v>261</v>
      </c>
      <c r="B3501" s="114" t="str">
        <f>VLOOKUP(A3501,'Data pick slip'!B:F,5,FALSE)</f>
        <v>KHJ-MC100-00</v>
      </c>
      <c r="F3501" s="157" t="s">
        <v>270</v>
      </c>
      <c r="H3501" s="138">
        <v>1680</v>
      </c>
      <c r="I3501" s="139" t="e">
        <f>VLOOKUP(H3501,Stock_list!A:R,18,FALSE)</f>
        <v>#N/A</v>
      </c>
      <c r="J3501" s="139" t="e">
        <f>VLOOKUP(H3501,Stock_list!A:S,17,FALSE)</f>
        <v>#N/A</v>
      </c>
      <c r="K3501" s="51" t="e">
        <f>VLOOKUP(H3501,Stock_list!A:T,16,FALSE)</f>
        <v>#N/A</v>
      </c>
      <c r="L3501" s="4">
        <v>44757</v>
      </c>
      <c r="M3501" s="132">
        <v>25</v>
      </c>
      <c r="P3501" s="4" t="e">
        <f>VLOOKUP(H3501,Stock_list!A:Y,25,FALSE)</f>
        <v>#N/A</v>
      </c>
      <c r="Q3501" s="143"/>
      <c r="T3501" s="144"/>
      <c r="U3501" s="145" t="e">
        <f>VLOOKUP(H3501,Stock_list!A:N,14,FALSE)</f>
        <v>#N/A</v>
      </c>
    </row>
    <row r="3502" spans="1:21" ht="16.5" customHeight="1">
      <c r="A3502" s="159" t="s">
        <v>264</v>
      </c>
      <c r="B3502" s="114" t="str">
        <f>VLOOKUP(A3502,'Data pick slip'!B:F,5,FALSE)</f>
        <v>KHJ-MC200-00</v>
      </c>
      <c r="F3502" s="157" t="s">
        <v>270</v>
      </c>
      <c r="H3502" s="138">
        <v>1680</v>
      </c>
      <c r="I3502" s="139" t="e">
        <f>VLOOKUP(H3502,Stock_list!A:R,18,FALSE)</f>
        <v>#N/A</v>
      </c>
      <c r="J3502" s="139" t="e">
        <f>VLOOKUP(H3502,Stock_list!A:S,17,FALSE)</f>
        <v>#N/A</v>
      </c>
      <c r="K3502" s="51" t="e">
        <f>VLOOKUP(H3502,Stock_list!A:T,16,FALSE)</f>
        <v>#N/A</v>
      </c>
      <c r="L3502" s="4">
        <v>44757</v>
      </c>
      <c r="M3502" s="132">
        <v>12</v>
      </c>
      <c r="P3502" s="4" t="e">
        <f>VLOOKUP(H3502,Stock_list!A:Y,25,FALSE)</f>
        <v>#N/A</v>
      </c>
      <c r="Q3502" s="143"/>
      <c r="T3502" s="144"/>
      <c r="U3502" s="145" t="e">
        <f>VLOOKUP(H3502,Stock_list!A:N,14,FALSE)</f>
        <v>#N/A</v>
      </c>
    </row>
    <row r="3503" spans="1:21" ht="16.5" customHeight="1">
      <c r="A3503" s="159" t="s">
        <v>261</v>
      </c>
      <c r="B3503" s="114" t="str">
        <f>VLOOKUP(A3503,'Data pick slip'!B:F,5,FALSE)</f>
        <v>KHJ-MC100-00</v>
      </c>
      <c r="F3503" s="157" t="s">
        <v>279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264</v>
      </c>
      <c r="B3504" s="114" t="str">
        <f>VLOOKUP(A3504,'Data pick slip'!B:F,5,FALSE)</f>
        <v>KHJ-MC200-00</v>
      </c>
      <c r="F3504" s="157" t="s">
        <v>279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265</v>
      </c>
      <c r="B3505" s="114" t="str">
        <f>VLOOKUP(A3505,'Data pick slip'!B:F,5,FALSE)</f>
        <v>KHJ-MC400-00</v>
      </c>
      <c r="F3505" s="157" t="s">
        <v>279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265</v>
      </c>
      <c r="B3506" s="114" t="str">
        <f>VLOOKUP(A3506,'Data pick slip'!B:F,5,FALSE)</f>
        <v>KHJ-MC400-00</v>
      </c>
      <c r="F3506" s="157" t="s">
        <v>290</v>
      </c>
      <c r="H3506" s="138">
        <v>1683</v>
      </c>
      <c r="I3506" s="139" t="e">
        <f>VLOOKUP(H3506,Stock_list!A:R,18,FALSE)</f>
        <v>#N/A</v>
      </c>
      <c r="J3506" s="139" t="e">
        <f>VLOOKUP(H3506,Stock_list!A:S,17,FALSE)</f>
        <v>#N/A</v>
      </c>
      <c r="K3506" s="51" t="e">
        <f>VLOOKUP(H3506,Stock_list!A:T,16,FALSE)</f>
        <v>#N/A</v>
      </c>
      <c r="L3506" s="4">
        <v>44741</v>
      </c>
      <c r="M3506" s="140">
        <v>3</v>
      </c>
      <c r="P3506" s="4" t="e">
        <f>VLOOKUP(H3506,Stock_list!A:Y,25,FALSE)</f>
        <v>#N/A</v>
      </c>
      <c r="Q3506" s="143"/>
      <c r="T3506" s="144"/>
      <c r="U3506" s="145" t="e">
        <f>VLOOKUP(H3506,Stock_list!A:N,14,FALSE)</f>
        <v>#N/A</v>
      </c>
    </row>
    <row r="3507" spans="1:21" ht="16.5" customHeight="1">
      <c r="A3507" s="159" t="s">
        <v>261</v>
      </c>
      <c r="B3507" s="114" t="str">
        <f>VLOOKUP(A3507,'Data pick slip'!B:F,5,FALSE)</f>
        <v>KHJ-MC100-00</v>
      </c>
      <c r="F3507" s="157" t="s">
        <v>290</v>
      </c>
      <c r="H3507" s="138">
        <v>1683</v>
      </c>
      <c r="I3507" s="139" t="e">
        <f>VLOOKUP(H3507,Stock_list!A:R,18,FALSE)</f>
        <v>#N/A</v>
      </c>
      <c r="J3507" s="139" t="e">
        <f>VLOOKUP(H3507,Stock_list!A:S,17,FALSE)</f>
        <v>#N/A</v>
      </c>
      <c r="K3507" s="51" t="e">
        <f>VLOOKUP(H3507,Stock_list!A:T,16,FALSE)</f>
        <v>#N/A</v>
      </c>
      <c r="L3507" s="4">
        <v>44741</v>
      </c>
      <c r="M3507" s="140">
        <v>6</v>
      </c>
      <c r="P3507" s="4" t="e">
        <f>VLOOKUP(H3507,Stock_list!A:Y,25,FALSE)</f>
        <v>#N/A</v>
      </c>
      <c r="Q3507" s="143"/>
      <c r="T3507" s="144"/>
      <c r="U3507" s="145" t="e">
        <f>VLOOKUP(H3507,Stock_list!A:N,14,FALSE)</f>
        <v>#N/A</v>
      </c>
    </row>
    <row r="3508" spans="1:21" ht="16.5" customHeight="1">
      <c r="A3508" s="159" t="s">
        <v>265</v>
      </c>
      <c r="B3508" s="114" t="str">
        <f>VLOOKUP(A3508,'Data pick slip'!B:F,5,FALSE)</f>
        <v>KHJ-MC400-00</v>
      </c>
      <c r="F3508" s="157" t="s">
        <v>227</v>
      </c>
      <c r="I3508" s="139" t="s">
        <v>371</v>
      </c>
      <c r="J3508" s="270" t="s">
        <v>1038</v>
      </c>
      <c r="K3508" s="51" t="s">
        <v>520</v>
      </c>
      <c r="L3508" s="4">
        <v>44727</v>
      </c>
      <c r="M3508" s="140">
        <v>2</v>
      </c>
      <c r="P3508" s="4" t="s">
        <v>214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261</v>
      </c>
      <c r="B3509" s="114" t="str">
        <f>VLOOKUP(A3509,'Data pick slip'!B:F,5,FALSE)</f>
        <v>KHJ-MC100-00</v>
      </c>
      <c r="F3509" s="157" t="s">
        <v>227</v>
      </c>
      <c r="I3509" s="269" t="s">
        <v>931</v>
      </c>
      <c r="J3509" s="139" t="s">
        <v>1039</v>
      </c>
      <c r="K3509" s="51" t="s">
        <v>225</v>
      </c>
      <c r="L3509" s="4">
        <v>44720</v>
      </c>
      <c r="M3509" s="140">
        <v>320</v>
      </c>
      <c r="P3509" s="4" t="s">
        <v>214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264</v>
      </c>
      <c r="B3510" s="114" t="str">
        <f>VLOOKUP(A3510,'Data pick slip'!B:F,5,FALSE)</f>
        <v>KHJ-MC200-00</v>
      </c>
      <c r="F3510" s="157" t="s">
        <v>227</v>
      </c>
      <c r="I3510" s="269" t="s">
        <v>931</v>
      </c>
      <c r="J3510" s="139" t="s">
        <v>1039</v>
      </c>
      <c r="K3510" s="51" t="s">
        <v>225</v>
      </c>
      <c r="L3510" s="4">
        <v>44720</v>
      </c>
      <c r="M3510" s="140">
        <v>80</v>
      </c>
      <c r="P3510" s="4" t="s">
        <v>214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265</v>
      </c>
      <c r="B3511" s="114" t="str">
        <f>VLOOKUP(A3511,'Data pick slip'!B:F,5,FALSE)</f>
        <v>KHJ-MC400-00</v>
      </c>
      <c r="F3511" s="157" t="s">
        <v>227</v>
      </c>
      <c r="I3511" s="269" t="s">
        <v>931</v>
      </c>
      <c r="J3511" s="139" t="s">
        <v>1039</v>
      </c>
      <c r="K3511" s="51" t="s">
        <v>225</v>
      </c>
      <c r="L3511" s="4">
        <v>44720</v>
      </c>
      <c r="M3511" s="140">
        <v>20</v>
      </c>
      <c r="P3511" s="4" t="s">
        <v>214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266</v>
      </c>
      <c r="B3512" s="114" t="str">
        <f>VLOOKUP(A3512,'Data pick slip'!B:F,5,FALSE)</f>
        <v>KHJ-MC500-00</v>
      </c>
      <c r="F3512" s="157" t="s">
        <v>227</v>
      </c>
      <c r="I3512" s="269" t="s">
        <v>931</v>
      </c>
      <c r="J3512" s="139" t="s">
        <v>1039</v>
      </c>
      <c r="K3512" s="51" t="s">
        <v>225</v>
      </c>
      <c r="L3512" s="4">
        <v>44720</v>
      </c>
      <c r="M3512" s="140">
        <v>10</v>
      </c>
      <c r="P3512" s="4" t="s">
        <v>214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272</v>
      </c>
      <c r="B3513" s="114" t="str">
        <f>VLOOKUP(A3513,'Data pick slip'!B:F,5,FALSE)</f>
        <v>KLJ-MC100-00</v>
      </c>
      <c r="F3513" s="157" t="s">
        <v>227</v>
      </c>
      <c r="I3513" s="269" t="s">
        <v>931</v>
      </c>
      <c r="J3513" s="139" t="s">
        <v>1039</v>
      </c>
      <c r="K3513" s="51" t="s">
        <v>225</v>
      </c>
      <c r="L3513" s="4">
        <v>44720</v>
      </c>
      <c r="M3513" s="140">
        <v>30</v>
      </c>
      <c r="P3513" s="4" t="s">
        <v>214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273</v>
      </c>
      <c r="B3514" s="114" t="str">
        <f>VLOOKUP(A3514,'Data pick slip'!B:F,5,FALSE)</f>
        <v>KLJ-MC200-00</v>
      </c>
      <c r="F3514" s="157" t="s">
        <v>227</v>
      </c>
      <c r="I3514" s="269" t="s">
        <v>931</v>
      </c>
      <c r="J3514" s="139" t="s">
        <v>1039</v>
      </c>
      <c r="K3514" s="51" t="s">
        <v>225</v>
      </c>
      <c r="L3514" s="4">
        <v>44720</v>
      </c>
      <c r="M3514" s="140">
        <v>20</v>
      </c>
      <c r="P3514" s="4" t="s">
        <v>214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261</v>
      </c>
      <c r="B3515" s="114" t="str">
        <f>VLOOKUP(A3515,'Data pick slip'!B:F,5,FALSE)</f>
        <v>KHJ-MC100-00</v>
      </c>
      <c r="F3515" s="157" t="s">
        <v>227</v>
      </c>
      <c r="I3515" s="269" t="s">
        <v>931</v>
      </c>
      <c r="J3515" s="139" t="s">
        <v>1040</v>
      </c>
      <c r="K3515" s="51" t="s">
        <v>225</v>
      </c>
      <c r="L3515" s="4">
        <v>44721</v>
      </c>
      <c r="M3515" s="140">
        <v>260</v>
      </c>
      <c r="P3515" s="4" t="s">
        <v>214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266</v>
      </c>
      <c r="B3516" s="114" t="str">
        <f>VLOOKUP(A3516,'Data pick slip'!B:F,5,FALSE)</f>
        <v>KHJ-MC500-00</v>
      </c>
      <c r="F3516" s="157" t="s">
        <v>227</v>
      </c>
      <c r="I3516" s="269" t="s">
        <v>931</v>
      </c>
      <c r="J3516" s="139" t="s">
        <v>1040</v>
      </c>
      <c r="K3516" s="51" t="s">
        <v>225</v>
      </c>
      <c r="L3516" s="4">
        <v>44721</v>
      </c>
      <c r="M3516" s="140">
        <v>20</v>
      </c>
      <c r="P3516" s="4" t="s">
        <v>214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261</v>
      </c>
      <c r="B3517" s="114" t="str">
        <f>VLOOKUP(A3517,'Data pick slip'!B:F,5,FALSE)</f>
        <v>KHJ-MC100-00</v>
      </c>
      <c r="F3517" s="157" t="s">
        <v>227</v>
      </c>
      <c r="I3517" s="269" t="s">
        <v>931</v>
      </c>
      <c r="J3517" s="139" t="s">
        <v>1041</v>
      </c>
      <c r="K3517" s="51" t="s">
        <v>225</v>
      </c>
      <c r="L3517" s="4">
        <v>44728</v>
      </c>
      <c r="M3517" s="140">
        <v>280</v>
      </c>
      <c r="P3517" s="4" t="s">
        <v>214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264</v>
      </c>
      <c r="B3518" s="114" t="str">
        <f>VLOOKUP(A3518,'Data pick slip'!B:F,5,FALSE)</f>
        <v>KHJ-MC200-00</v>
      </c>
      <c r="F3518" s="157" t="s">
        <v>227</v>
      </c>
      <c r="I3518" s="269" t="s">
        <v>931</v>
      </c>
      <c r="J3518" s="139" t="s">
        <v>1041</v>
      </c>
      <c r="K3518" s="51" t="s">
        <v>225</v>
      </c>
      <c r="L3518" s="4">
        <v>44728</v>
      </c>
      <c r="M3518" s="140">
        <v>60</v>
      </c>
      <c r="P3518" s="4" t="s">
        <v>214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267</v>
      </c>
      <c r="B3519" s="114" t="str">
        <f>VLOOKUP(A3519,'Data pick slip'!B:F,5,FALSE)</f>
        <v>KHJ-MC600-00</v>
      </c>
      <c r="F3519" s="157" t="s">
        <v>227</v>
      </c>
      <c r="I3519" s="269" t="s">
        <v>931</v>
      </c>
      <c r="J3519" s="139" t="s">
        <v>1041</v>
      </c>
      <c r="K3519" s="51" t="s">
        <v>225</v>
      </c>
      <c r="L3519" s="4">
        <v>44728</v>
      </c>
      <c r="M3519" s="140">
        <v>20</v>
      </c>
      <c r="P3519" s="4" t="s">
        <v>214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261</v>
      </c>
      <c r="B3520" s="114" t="str">
        <f>VLOOKUP(A3520,'Data pick slip'!B:F,5,FALSE)</f>
        <v>KHJ-MC100-00</v>
      </c>
      <c r="F3520" s="157" t="s">
        <v>227</v>
      </c>
      <c r="H3520" s="138">
        <v>1690</v>
      </c>
      <c r="I3520" s="139" t="e">
        <f>VLOOKUP(H3520,Stock_list!A:R,18,FALSE)</f>
        <v>#N/A</v>
      </c>
      <c r="J3520" s="139" t="e">
        <f>VLOOKUP(H3520,Stock_list!A:S,17,FALSE)</f>
        <v>#N/A</v>
      </c>
      <c r="K3520" s="51" t="e">
        <f>VLOOKUP(H3520,Stock_list!A:T,16,FALSE)</f>
        <v>#N/A</v>
      </c>
      <c r="L3520" s="4">
        <v>44861</v>
      </c>
      <c r="M3520" s="143">
        <v>20</v>
      </c>
      <c r="P3520" s="4" t="e">
        <f>VLOOKUP(H3520,Stock_list!A:Y,25,FALSE)</f>
        <v>#N/A</v>
      </c>
      <c r="Q3520" s="143"/>
      <c r="T3520" s="144"/>
      <c r="U3520" s="145" t="e">
        <f>VLOOKUP(H3520,Stock_list!A:N,14,FALSE)</f>
        <v>#N/A</v>
      </c>
    </row>
    <row r="3521" spans="1:21" ht="16.5" customHeight="1">
      <c r="A3521" s="159" t="s">
        <v>264</v>
      </c>
      <c r="B3521" s="114" t="str">
        <f>VLOOKUP(A3521,'Data pick slip'!B:F,5,FALSE)</f>
        <v>KHJ-MC200-00</v>
      </c>
      <c r="F3521" s="157" t="s">
        <v>227</v>
      </c>
      <c r="H3521" s="138">
        <v>1690</v>
      </c>
      <c r="I3521" s="139" t="e">
        <f>VLOOKUP(H3521,Stock_list!A:R,18,FALSE)</f>
        <v>#N/A</v>
      </c>
      <c r="J3521" s="139" t="e">
        <f>VLOOKUP(H3521,Stock_list!A:S,17,FALSE)</f>
        <v>#N/A</v>
      </c>
      <c r="K3521" s="51" t="e">
        <f>VLOOKUP(H3521,Stock_list!A:T,16,FALSE)</f>
        <v>#N/A</v>
      </c>
      <c r="L3521" s="4">
        <v>44861</v>
      </c>
      <c r="M3521" s="143">
        <v>2</v>
      </c>
      <c r="P3521" s="4" t="e">
        <f>VLOOKUP(H3521,Stock_list!A:Y,25,FALSE)</f>
        <v>#N/A</v>
      </c>
      <c r="Q3521" s="143"/>
      <c r="T3521" s="144"/>
      <c r="U3521" s="145" t="e">
        <f>VLOOKUP(H3521,Stock_list!A:N,14,FALSE)</f>
        <v>#N/A</v>
      </c>
    </row>
    <row r="3522" spans="1:21" ht="16.5" customHeight="1">
      <c r="A3522" s="159" t="s">
        <v>265</v>
      </c>
      <c r="B3522" s="114" t="str">
        <f>VLOOKUP(A3522,'Data pick slip'!B:F,5,FALSE)</f>
        <v>KHJ-MC400-00</v>
      </c>
      <c r="F3522" s="157" t="s">
        <v>227</v>
      </c>
      <c r="H3522" s="138">
        <v>1690</v>
      </c>
      <c r="I3522" s="139" t="e">
        <f>VLOOKUP(H3522,Stock_list!A:R,18,FALSE)</f>
        <v>#N/A</v>
      </c>
      <c r="J3522" s="139" t="e">
        <f>VLOOKUP(H3522,Stock_list!A:S,17,FALSE)</f>
        <v>#N/A</v>
      </c>
      <c r="K3522" s="51" t="e">
        <f>VLOOKUP(H3522,Stock_list!A:T,16,FALSE)</f>
        <v>#N/A</v>
      </c>
      <c r="L3522" s="4">
        <v>44861</v>
      </c>
      <c r="M3522" s="143">
        <v>1</v>
      </c>
      <c r="P3522" s="4" t="e">
        <f>VLOOKUP(H3522,Stock_list!A:Y,25,FALSE)</f>
        <v>#N/A</v>
      </c>
      <c r="Q3522" s="143"/>
      <c r="T3522" s="144"/>
      <c r="U3522" s="145" t="e">
        <f>VLOOKUP(H3522,Stock_list!A:N,14,FALSE)</f>
        <v>#N/A</v>
      </c>
    </row>
    <row r="3523" spans="1:21" ht="16.5" customHeight="1">
      <c r="A3523" s="159" t="s">
        <v>261</v>
      </c>
      <c r="B3523" s="114" t="str">
        <f>VLOOKUP(A3523,'Data pick slip'!B:F,5,FALSE)</f>
        <v>KHJ-MC100-00</v>
      </c>
      <c r="F3523" s="157" t="s">
        <v>290</v>
      </c>
      <c r="H3523" s="138">
        <v>1691</v>
      </c>
      <c r="I3523" s="139" t="e">
        <f>VLOOKUP(H3523,Stock_list!A:R,18,FALSE)</f>
        <v>#N/A</v>
      </c>
      <c r="J3523" s="139" t="e">
        <f>VLOOKUP(H3523,Stock_list!A:S,17,FALSE)</f>
        <v>#N/A</v>
      </c>
      <c r="K3523" s="51" t="e">
        <f>VLOOKUP(H3523,Stock_list!A:T,16,FALSE)</f>
        <v>#N/A</v>
      </c>
      <c r="L3523" s="4">
        <v>44746</v>
      </c>
      <c r="M3523" s="140">
        <v>15</v>
      </c>
      <c r="P3523" s="4" t="e">
        <f>VLOOKUP(H3523,Stock_list!A:Y,25,FALSE)</f>
        <v>#N/A</v>
      </c>
      <c r="Q3523" s="143"/>
      <c r="T3523" s="144"/>
      <c r="U3523" s="145" t="e">
        <f>VLOOKUP(H3523,Stock_list!A:N,14,FALSE)</f>
        <v>#N/A</v>
      </c>
    </row>
    <row r="3524" spans="1:21" ht="16.5" customHeight="1">
      <c r="A3524" s="159" t="s">
        <v>264</v>
      </c>
      <c r="B3524" s="114" t="str">
        <f>VLOOKUP(A3524,'Data pick slip'!B:F,5,FALSE)</f>
        <v>KHJ-MC200-00</v>
      </c>
      <c r="F3524" s="157" t="s">
        <v>290</v>
      </c>
      <c r="H3524" s="138">
        <v>1691</v>
      </c>
      <c r="I3524" s="139" t="e">
        <f>VLOOKUP(H3524,Stock_list!A:R,18,FALSE)</f>
        <v>#N/A</v>
      </c>
      <c r="J3524" s="139" t="e">
        <f>VLOOKUP(H3524,Stock_list!A:S,17,FALSE)</f>
        <v>#N/A</v>
      </c>
      <c r="K3524" s="51" t="e">
        <f>VLOOKUP(H3524,Stock_list!A:T,16,FALSE)</f>
        <v>#N/A</v>
      </c>
      <c r="L3524" s="4">
        <v>44746</v>
      </c>
      <c r="M3524" s="140">
        <v>10</v>
      </c>
      <c r="P3524" s="4" t="e">
        <f>VLOOKUP(H3524,Stock_list!A:Y,25,FALSE)</f>
        <v>#N/A</v>
      </c>
      <c r="Q3524" s="143"/>
      <c r="T3524" s="144"/>
      <c r="U3524" s="145" t="e">
        <f>VLOOKUP(H3524,Stock_list!A:N,14,FALSE)</f>
        <v>#N/A</v>
      </c>
    </row>
    <row r="3525" spans="1:21" ht="16.5" customHeight="1">
      <c r="A3525" s="159" t="s">
        <v>265</v>
      </c>
      <c r="B3525" s="114" t="str">
        <f>VLOOKUP(A3525,'Data pick slip'!B:F,5,FALSE)</f>
        <v>KHJ-MC400-00</v>
      </c>
      <c r="F3525" s="157" t="s">
        <v>290</v>
      </c>
      <c r="H3525" s="138">
        <v>1691</v>
      </c>
      <c r="I3525" s="139" t="e">
        <f>VLOOKUP(H3525,Stock_list!A:R,18,FALSE)</f>
        <v>#N/A</v>
      </c>
      <c r="J3525" s="139" t="e">
        <f>VLOOKUP(H3525,Stock_list!A:S,17,FALSE)</f>
        <v>#N/A</v>
      </c>
      <c r="K3525" s="51" t="e">
        <f>VLOOKUP(H3525,Stock_list!A:T,16,FALSE)</f>
        <v>#N/A</v>
      </c>
      <c r="L3525" s="4">
        <v>44746</v>
      </c>
      <c r="M3525" s="140">
        <v>4</v>
      </c>
      <c r="P3525" s="4" t="e">
        <f>VLOOKUP(H3525,Stock_list!A:Y,25,FALSE)</f>
        <v>#N/A</v>
      </c>
      <c r="Q3525" s="143"/>
      <c r="T3525" s="144"/>
      <c r="U3525" s="145" t="e">
        <f>VLOOKUP(H3525,Stock_list!A:N,14,FALSE)</f>
        <v>#N/A</v>
      </c>
    </row>
    <row r="3526" spans="1:21" ht="16.5" customHeight="1">
      <c r="A3526" s="159" t="s">
        <v>261</v>
      </c>
      <c r="B3526" s="114" t="str">
        <f>VLOOKUP(A3526,'Data pick slip'!B:F,5,FALSE)</f>
        <v>KHJ-MC100-00</v>
      </c>
      <c r="F3526" s="157" t="s">
        <v>227</v>
      </c>
      <c r="H3526" s="138">
        <v>959</v>
      </c>
      <c r="I3526" s="139" t="e">
        <f>VLOOKUP(H3526,Stock_list!A:R,18,FALSE)</f>
        <v>#N/A</v>
      </c>
      <c r="J3526" s="139" t="e">
        <f>VLOOKUP(H3526,Stock_list!A:S,17,FALSE)</f>
        <v>#N/A</v>
      </c>
      <c r="K3526" s="51" t="e">
        <f>VLOOKUP(H3526,Stock_list!A:T,16,FALSE)</f>
        <v>#N/A</v>
      </c>
      <c r="L3526" s="4">
        <v>44737</v>
      </c>
      <c r="M3526" s="140">
        <v>13</v>
      </c>
      <c r="P3526" s="4" t="e">
        <f>VLOOKUP(H3526,Stock_list!A:Y,25,FALSE)</f>
        <v>#N/A</v>
      </c>
      <c r="Q3526" s="143"/>
      <c r="T3526" s="144"/>
      <c r="U3526" s="145" t="e">
        <f>VLOOKUP(H3526,Stock_list!A:N,14,FALSE)</f>
        <v>#N/A</v>
      </c>
    </row>
    <row r="3527" spans="1:21" ht="16.5" customHeight="1">
      <c r="A3527" s="159" t="s">
        <v>261</v>
      </c>
      <c r="B3527" s="114" t="str">
        <f>VLOOKUP(A3527,'Data pick slip'!B:F,5,FALSE)</f>
        <v>KHJ-MC100-00</v>
      </c>
      <c r="F3527" s="157" t="s">
        <v>290</v>
      </c>
      <c r="H3527" s="138">
        <v>1695</v>
      </c>
      <c r="I3527" s="139" t="e">
        <f>VLOOKUP(H3527,Stock_list!A:R,18,FALSE)</f>
        <v>#N/A</v>
      </c>
      <c r="J3527" s="139" t="e">
        <f>VLOOKUP(H3527,Stock_list!A:S,17,FALSE)</f>
        <v>#N/A</v>
      </c>
      <c r="K3527" s="51" t="e">
        <f>VLOOKUP(H3527,Stock_list!A:T,16,FALSE)</f>
        <v>#N/A</v>
      </c>
      <c r="L3527" s="4">
        <v>44760</v>
      </c>
      <c r="M3527" s="140">
        <v>2</v>
      </c>
      <c r="P3527" s="4" t="e">
        <f>VLOOKUP(H3527,Stock_list!A:Y,25,FALSE)</f>
        <v>#N/A</v>
      </c>
      <c r="Q3527" s="143"/>
      <c r="T3527" s="144"/>
      <c r="U3527" s="145" t="e">
        <f>VLOOKUP(H3527,Stock_list!A:N,14,FALSE)</f>
        <v>#N/A</v>
      </c>
    </row>
    <row r="3528" spans="1:21" ht="16.5" customHeight="1">
      <c r="A3528" s="159" t="s">
        <v>261</v>
      </c>
      <c r="B3528" s="114" t="str">
        <f>VLOOKUP(A3528,'Data pick slip'!B:F,5,FALSE)</f>
        <v>KHJ-MC100-00</v>
      </c>
      <c r="F3528" s="157" t="s">
        <v>227</v>
      </c>
      <c r="I3528" s="269" t="s">
        <v>931</v>
      </c>
      <c r="J3528" s="139" t="s">
        <v>1042</v>
      </c>
      <c r="K3528" s="51" t="s">
        <v>225</v>
      </c>
      <c r="L3528" s="4">
        <v>44740</v>
      </c>
      <c r="M3528" s="140">
        <v>240</v>
      </c>
      <c r="P3528" s="4" t="s">
        <v>214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264</v>
      </c>
      <c r="B3529" s="114" t="str">
        <f>VLOOKUP(A3529,'Data pick slip'!B:F,5,FALSE)</f>
        <v>KHJ-MC200-00</v>
      </c>
      <c r="F3529" s="157" t="s">
        <v>227</v>
      </c>
      <c r="I3529" s="269" t="s">
        <v>931</v>
      </c>
      <c r="J3529" s="139" t="s">
        <v>1042</v>
      </c>
      <c r="K3529" s="51" t="s">
        <v>225</v>
      </c>
      <c r="L3529" s="4">
        <v>44740</v>
      </c>
      <c r="M3529" s="140">
        <v>20</v>
      </c>
      <c r="P3529" s="4" t="s">
        <v>214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265</v>
      </c>
      <c r="B3530" s="114" t="str">
        <f>VLOOKUP(A3530,'Data pick slip'!B:F,5,FALSE)</f>
        <v>KHJ-MC400-00</v>
      </c>
      <c r="F3530" s="157" t="s">
        <v>227</v>
      </c>
      <c r="I3530" s="269" t="s">
        <v>931</v>
      </c>
      <c r="J3530" s="139" t="s">
        <v>1042</v>
      </c>
      <c r="K3530" s="51" t="s">
        <v>225</v>
      </c>
      <c r="L3530" s="4">
        <v>44740</v>
      </c>
      <c r="M3530" s="140">
        <v>12</v>
      </c>
      <c r="P3530" s="4" t="s">
        <v>214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264</v>
      </c>
      <c r="B3531" s="114" t="str">
        <f>VLOOKUP(A3531,'Data pick slip'!B:F,5,FALSE)</f>
        <v>KHJ-MC200-00</v>
      </c>
      <c r="F3531" s="157" t="s">
        <v>279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265</v>
      </c>
      <c r="B3532" s="114" t="str">
        <f>VLOOKUP(A3532,'Data pick slip'!B:F,5,FALSE)</f>
        <v>KHJ-MC400-00</v>
      </c>
      <c r="F3532" s="157" t="s">
        <v>279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266</v>
      </c>
      <c r="B3533" s="114" t="str">
        <f>VLOOKUP(A3533,'Data pick slip'!B:F,5,FALSE)</f>
        <v>KHJ-MC500-00</v>
      </c>
      <c r="F3533" s="157" t="s">
        <v>279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261</v>
      </c>
      <c r="B3534" s="114" t="str">
        <f>VLOOKUP(A3534,'Data pick slip'!B:F,5,FALSE)</f>
        <v>KHJ-MC100-00</v>
      </c>
      <c r="F3534" s="157" t="s">
        <v>290</v>
      </c>
      <c r="H3534" s="138">
        <v>1699</v>
      </c>
      <c r="I3534" s="139" t="e">
        <f>VLOOKUP(H3534,Stock_list!A:R,18,FALSE)</f>
        <v>#N/A</v>
      </c>
      <c r="J3534" s="139" t="e">
        <f>VLOOKUP(H3534,Stock_list!A:S,17,FALSE)</f>
        <v>#N/A</v>
      </c>
      <c r="K3534" s="51" t="e">
        <f>VLOOKUP(H3534,Stock_list!A:T,16,FALSE)</f>
        <v>#N/A</v>
      </c>
      <c r="L3534" s="327">
        <v>44827</v>
      </c>
      <c r="M3534" s="140">
        <v>20</v>
      </c>
      <c r="P3534" s="4" t="e">
        <f>VLOOKUP(H3534,Stock_list!A:Y,25,FALSE)</f>
        <v>#N/A</v>
      </c>
      <c r="Q3534" s="143"/>
      <c r="T3534" s="144"/>
      <c r="U3534" s="145" t="e">
        <f>VLOOKUP(H3534,Stock_list!A:N,14,FALSE)</f>
        <v>#N/A</v>
      </c>
    </row>
    <row r="3535" spans="1:21" ht="16.5" customHeight="1">
      <c r="A3535" s="159" t="s">
        <v>264</v>
      </c>
      <c r="B3535" s="114" t="str">
        <f>VLOOKUP(A3535,'Data pick slip'!B:F,5,FALSE)</f>
        <v>KHJ-MC200-00</v>
      </c>
      <c r="F3535" s="157" t="s">
        <v>290</v>
      </c>
      <c r="H3535" s="138">
        <v>1699</v>
      </c>
      <c r="I3535" s="139" t="e">
        <f>VLOOKUP(H3535,Stock_list!A:R,18,FALSE)</f>
        <v>#N/A</v>
      </c>
      <c r="J3535" s="139" t="e">
        <f>VLOOKUP(H3535,Stock_list!A:S,17,FALSE)</f>
        <v>#N/A</v>
      </c>
      <c r="K3535" s="51" t="e">
        <f>VLOOKUP(H3535,Stock_list!A:T,16,FALSE)</f>
        <v>#N/A</v>
      </c>
      <c r="L3535" s="327">
        <v>44827</v>
      </c>
      <c r="M3535" s="140">
        <v>10</v>
      </c>
      <c r="P3535" s="4" t="e">
        <f>VLOOKUP(H3535,Stock_list!A:Y,25,FALSE)</f>
        <v>#N/A</v>
      </c>
      <c r="Q3535" s="143"/>
      <c r="T3535" s="144"/>
      <c r="U3535" s="145" t="e">
        <f>VLOOKUP(H3535,Stock_list!A:N,14,FALSE)</f>
        <v>#N/A</v>
      </c>
    </row>
    <row r="3536" spans="1:21" ht="16.5" customHeight="1">
      <c r="A3536" s="159" t="s">
        <v>261</v>
      </c>
      <c r="B3536" s="114" t="str">
        <f>VLOOKUP(A3536,'Data pick slip'!B:F,5,FALSE)</f>
        <v>KHJ-MC100-00</v>
      </c>
      <c r="F3536" s="157" t="s">
        <v>227</v>
      </c>
      <c r="H3536" s="138">
        <v>1701</v>
      </c>
      <c r="I3536" s="139" t="e">
        <f>VLOOKUP(H3536,Stock_list!A:R,18,FALSE)</f>
        <v>#N/A</v>
      </c>
      <c r="J3536" s="139" t="e">
        <f>VLOOKUP(H3536,Stock_list!A:S,17,FALSE)</f>
        <v>#N/A</v>
      </c>
      <c r="K3536" s="51" t="e">
        <f>VLOOKUP(H3536,Stock_list!A:T,16,FALSE)</f>
        <v>#N/A</v>
      </c>
      <c r="L3536" s="4">
        <v>44777</v>
      </c>
      <c r="M3536" s="140">
        <v>260</v>
      </c>
      <c r="N3536" s="143"/>
      <c r="P3536" s="4" t="e">
        <f>VLOOKUP(H3536,Stock_list!A:Y,25,FALSE)</f>
        <v>#N/A</v>
      </c>
      <c r="T3536" s="144"/>
      <c r="U3536" s="145" t="e">
        <f>VLOOKUP(H3536,Stock_list!A:N,14,FALSE)</f>
        <v>#N/A</v>
      </c>
    </row>
    <row r="3537" spans="1:21" ht="16.5" customHeight="1">
      <c r="A3537" s="159" t="s">
        <v>264</v>
      </c>
      <c r="B3537" s="114" t="str">
        <f>VLOOKUP(A3537,'Data pick slip'!B:F,5,FALSE)</f>
        <v>KHJ-MC200-00</v>
      </c>
      <c r="F3537" s="157" t="s">
        <v>227</v>
      </c>
      <c r="H3537" s="138">
        <v>1701</v>
      </c>
      <c r="I3537" s="139" t="e">
        <f>VLOOKUP(H3537,Stock_list!A:R,18,FALSE)</f>
        <v>#N/A</v>
      </c>
      <c r="J3537" s="139" t="e">
        <f>VLOOKUP(H3537,Stock_list!A:S,17,FALSE)</f>
        <v>#N/A</v>
      </c>
      <c r="K3537" s="51" t="e">
        <f>VLOOKUP(H3537,Stock_list!A:T,16,FALSE)</f>
        <v>#N/A</v>
      </c>
      <c r="L3537" s="4">
        <v>44777</v>
      </c>
      <c r="M3537" s="140">
        <v>60</v>
      </c>
      <c r="N3537" s="143"/>
      <c r="P3537" s="4" t="e">
        <f>VLOOKUP(H3537,Stock_list!A:Y,25,FALSE)</f>
        <v>#N/A</v>
      </c>
      <c r="T3537" s="144"/>
      <c r="U3537" s="145" t="e">
        <f>VLOOKUP(H3537,Stock_list!A:N,14,FALSE)</f>
        <v>#N/A</v>
      </c>
    </row>
    <row r="3538" spans="1:21" ht="16.5" customHeight="1">
      <c r="A3538" s="159" t="s">
        <v>265</v>
      </c>
      <c r="B3538" s="114" t="str">
        <f>VLOOKUP(A3538,'Data pick slip'!B:F,5,FALSE)</f>
        <v>KHJ-MC400-00</v>
      </c>
      <c r="F3538" s="157" t="s">
        <v>227</v>
      </c>
      <c r="H3538" s="138">
        <v>1701</v>
      </c>
      <c r="I3538" s="139" t="e">
        <f>VLOOKUP(H3538,Stock_list!A:R,18,FALSE)</f>
        <v>#N/A</v>
      </c>
      <c r="J3538" s="139" t="e">
        <f>VLOOKUP(H3538,Stock_list!A:S,17,FALSE)</f>
        <v>#N/A</v>
      </c>
      <c r="K3538" s="51" t="e">
        <f>VLOOKUP(H3538,Stock_list!A:T,16,FALSE)</f>
        <v>#N/A</v>
      </c>
      <c r="L3538" s="4">
        <v>44777</v>
      </c>
      <c r="M3538" s="140">
        <v>30</v>
      </c>
      <c r="N3538" s="143"/>
      <c r="P3538" s="4" t="e">
        <f>VLOOKUP(H3538,Stock_list!A:Y,25,FALSE)</f>
        <v>#N/A</v>
      </c>
      <c r="T3538" s="144"/>
      <c r="U3538" s="145" t="e">
        <f>VLOOKUP(H3538,Stock_list!A:N,14,FALSE)</f>
        <v>#N/A</v>
      </c>
    </row>
    <row r="3539" spans="1:21" ht="16.5" customHeight="1">
      <c r="A3539" s="159" t="s">
        <v>266</v>
      </c>
      <c r="B3539" s="114" t="str">
        <f>VLOOKUP(A3539,'Data pick slip'!B:F,5,FALSE)</f>
        <v>KHJ-MC500-00</v>
      </c>
      <c r="F3539" s="157" t="s">
        <v>227</v>
      </c>
      <c r="H3539" s="138">
        <v>1701</v>
      </c>
      <c r="I3539" s="139" t="e">
        <f>VLOOKUP(H3539,Stock_list!A:R,18,FALSE)</f>
        <v>#N/A</v>
      </c>
      <c r="J3539" s="139" t="e">
        <f>VLOOKUP(H3539,Stock_list!A:S,17,FALSE)</f>
        <v>#N/A</v>
      </c>
      <c r="K3539" s="51" t="e">
        <f>VLOOKUP(H3539,Stock_list!A:T,16,FALSE)</f>
        <v>#N/A</v>
      </c>
      <c r="L3539" s="4">
        <v>44777</v>
      </c>
      <c r="M3539" s="140">
        <v>12</v>
      </c>
      <c r="N3539" s="143"/>
      <c r="P3539" s="4" t="e">
        <f>VLOOKUP(H3539,Stock_list!A:Y,25,FALSE)</f>
        <v>#N/A</v>
      </c>
      <c r="T3539" s="144"/>
      <c r="U3539" s="145" t="e">
        <f>VLOOKUP(H3539,Stock_list!A:N,14,FALSE)</f>
        <v>#N/A</v>
      </c>
    </row>
    <row r="3540" spans="1:21" ht="16.5" customHeight="1">
      <c r="A3540" s="159" t="s">
        <v>267</v>
      </c>
      <c r="B3540" s="114" t="str">
        <f>VLOOKUP(A3540,'Data pick slip'!B:F,5,FALSE)</f>
        <v>KHJ-MC600-00</v>
      </c>
      <c r="F3540" s="157" t="s">
        <v>227</v>
      </c>
      <c r="H3540" s="138">
        <v>1701</v>
      </c>
      <c r="I3540" s="139" t="e">
        <f>VLOOKUP(H3540,Stock_list!A:R,18,FALSE)</f>
        <v>#N/A</v>
      </c>
      <c r="J3540" s="139" t="e">
        <f>VLOOKUP(H3540,Stock_list!A:S,17,FALSE)</f>
        <v>#N/A</v>
      </c>
      <c r="K3540" s="51" t="e">
        <f>VLOOKUP(H3540,Stock_list!A:T,16,FALSE)</f>
        <v>#N/A</v>
      </c>
      <c r="L3540" s="4">
        <v>44777</v>
      </c>
      <c r="M3540" s="140">
        <v>4</v>
      </c>
      <c r="N3540" s="143"/>
      <c r="P3540" s="4" t="e">
        <f>VLOOKUP(H3540,Stock_list!A:Y,25,FALSE)</f>
        <v>#N/A</v>
      </c>
      <c r="T3540" s="144"/>
      <c r="U3540" s="145" t="e">
        <f>VLOOKUP(H3540,Stock_list!A:N,14,FALSE)</f>
        <v>#N/A</v>
      </c>
    </row>
    <row r="3541" spans="1:21" ht="16.5" customHeight="1">
      <c r="A3541" s="159" t="s">
        <v>261</v>
      </c>
      <c r="B3541" s="114" t="str">
        <f>VLOOKUP(A3541,'Data pick slip'!B:F,5,FALSE)</f>
        <v>KHJ-MC100-00</v>
      </c>
      <c r="F3541" s="157" t="s">
        <v>227</v>
      </c>
      <c r="I3541" s="139" t="s">
        <v>371</v>
      </c>
      <c r="J3541" s="139" t="s">
        <v>1043</v>
      </c>
      <c r="K3541" s="51" t="s">
        <v>1044</v>
      </c>
      <c r="L3541" s="4">
        <v>44755</v>
      </c>
      <c r="M3541" s="140">
        <v>5</v>
      </c>
      <c r="P3541" s="4" t="s">
        <v>214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261</v>
      </c>
      <c r="B3542" s="114" t="str">
        <f>VLOOKUP(A3542,'Data pick slip'!B:F,5,FALSE)</f>
        <v>KHJ-MC100-00</v>
      </c>
      <c r="F3542" s="157" t="s">
        <v>227</v>
      </c>
      <c r="I3542" s="269" t="s">
        <v>931</v>
      </c>
      <c r="J3542" s="139" t="s">
        <v>507</v>
      </c>
      <c r="K3542" s="51" t="s">
        <v>225</v>
      </c>
      <c r="L3542" s="4">
        <v>44746</v>
      </c>
      <c r="M3542" s="140">
        <v>755</v>
      </c>
      <c r="P3542" s="4" t="s">
        <v>214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264</v>
      </c>
      <c r="B3543" s="114" t="str">
        <f>VLOOKUP(A3543,'Data pick slip'!B:F,5,FALSE)</f>
        <v>KHJ-MC200-00</v>
      </c>
      <c r="F3543" s="157" t="s">
        <v>227</v>
      </c>
      <c r="I3543" s="269" t="s">
        <v>931</v>
      </c>
      <c r="J3543" s="139" t="s">
        <v>507</v>
      </c>
      <c r="K3543" s="51" t="s">
        <v>225</v>
      </c>
      <c r="L3543" s="4">
        <v>44746</v>
      </c>
      <c r="M3543" s="140">
        <v>75</v>
      </c>
      <c r="P3543" s="4" t="s">
        <v>214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272</v>
      </c>
      <c r="B3544" s="114" t="str">
        <f>VLOOKUP(A3544,'Data pick slip'!B:F,5,FALSE)</f>
        <v>KLJ-MC100-00</v>
      </c>
      <c r="F3544" s="157" t="s">
        <v>227</v>
      </c>
      <c r="I3544" s="269" t="s">
        <v>931</v>
      </c>
      <c r="J3544" s="139" t="s">
        <v>507</v>
      </c>
      <c r="K3544" s="51" t="s">
        <v>225</v>
      </c>
      <c r="L3544" s="4">
        <v>44746</v>
      </c>
      <c r="M3544" s="140">
        <v>280</v>
      </c>
      <c r="P3544" s="4" t="s">
        <v>214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273</v>
      </c>
      <c r="B3545" s="114" t="str">
        <f>VLOOKUP(A3545,'Data pick slip'!B:F,5,FALSE)</f>
        <v>KLJ-MC200-00</v>
      </c>
      <c r="F3545" s="157" t="s">
        <v>227</v>
      </c>
      <c r="I3545" s="269" t="s">
        <v>931</v>
      </c>
      <c r="J3545" s="139" t="s">
        <v>507</v>
      </c>
      <c r="K3545" s="51" t="s">
        <v>225</v>
      </c>
      <c r="L3545" s="4">
        <v>44746</v>
      </c>
      <c r="M3545" s="140">
        <v>60</v>
      </c>
      <c r="P3545" s="4" t="s">
        <v>214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</v>
      </c>
      <c r="B3546" s="114" t="str">
        <f>VLOOKUP(A3546,'Data pick slip'!B:F,5,FALSE)</f>
        <v>KLJ-MC500-00</v>
      </c>
      <c r="F3546" s="157" t="s">
        <v>227</v>
      </c>
      <c r="I3546" s="269" t="s">
        <v>931</v>
      </c>
      <c r="J3546" s="139" t="s">
        <v>507</v>
      </c>
      <c r="K3546" s="51" t="s">
        <v>225</v>
      </c>
      <c r="L3546" s="4">
        <v>44746</v>
      </c>
      <c r="M3546" s="140">
        <v>20</v>
      </c>
      <c r="P3546" s="4" t="s">
        <v>214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261</v>
      </c>
      <c r="B3547" s="114" t="str">
        <f>VLOOKUP(A3547,'Data pick slip'!B:F,5,FALSE)</f>
        <v>KHJ-MC100-00</v>
      </c>
      <c r="F3547" s="157" t="s">
        <v>227</v>
      </c>
      <c r="I3547" s="269" t="s">
        <v>931</v>
      </c>
      <c r="J3547" s="139" t="s">
        <v>508</v>
      </c>
      <c r="K3547" s="51" t="s">
        <v>225</v>
      </c>
      <c r="L3547" s="4">
        <v>44750</v>
      </c>
      <c r="M3547" s="140">
        <v>445</v>
      </c>
      <c r="P3547" s="4" t="s">
        <v>214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264</v>
      </c>
      <c r="B3548" s="114" t="str">
        <f>VLOOKUP(A3548,'Data pick slip'!B:F,5,FALSE)</f>
        <v>KHJ-MC200-00</v>
      </c>
      <c r="F3548" s="157" t="s">
        <v>227</v>
      </c>
      <c r="I3548" s="269" t="s">
        <v>931</v>
      </c>
      <c r="J3548" s="139" t="s">
        <v>508</v>
      </c>
      <c r="K3548" s="51" t="s">
        <v>225</v>
      </c>
      <c r="L3548" s="4">
        <v>44750</v>
      </c>
      <c r="M3548" s="140">
        <v>70</v>
      </c>
      <c r="P3548" s="4" t="s">
        <v>214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265</v>
      </c>
      <c r="B3549" s="114" t="str">
        <f>VLOOKUP(A3549,'Data pick slip'!B:F,5,FALSE)</f>
        <v>KHJ-MC400-00</v>
      </c>
      <c r="F3549" s="157" t="s">
        <v>227</v>
      </c>
      <c r="I3549" s="269" t="s">
        <v>931</v>
      </c>
      <c r="J3549" s="139" t="s">
        <v>508</v>
      </c>
      <c r="K3549" s="51" t="s">
        <v>225</v>
      </c>
      <c r="L3549" s="4">
        <v>44750</v>
      </c>
      <c r="M3549" s="140">
        <v>51</v>
      </c>
      <c r="P3549" s="4" t="s">
        <v>214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266</v>
      </c>
      <c r="B3550" s="114" t="str">
        <f>VLOOKUP(A3550,'Data pick slip'!B:F,5,FALSE)</f>
        <v>KHJ-MC500-00</v>
      </c>
      <c r="F3550" s="157" t="s">
        <v>227</v>
      </c>
      <c r="I3550" s="269" t="s">
        <v>931</v>
      </c>
      <c r="J3550" s="139" t="s">
        <v>508</v>
      </c>
      <c r="K3550" s="51" t="s">
        <v>225</v>
      </c>
      <c r="L3550" s="4">
        <v>44750</v>
      </c>
      <c r="M3550" s="140">
        <v>18</v>
      </c>
      <c r="P3550" s="4" t="s">
        <v>214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267</v>
      </c>
      <c r="B3551" s="114" t="str">
        <f>VLOOKUP(A3551,'Data pick slip'!B:F,5,FALSE)</f>
        <v>KHJ-MC600-00</v>
      </c>
      <c r="F3551" s="157" t="s">
        <v>227</v>
      </c>
      <c r="I3551" s="269" t="s">
        <v>931</v>
      </c>
      <c r="J3551" s="139" t="s">
        <v>508</v>
      </c>
      <c r="K3551" s="51" t="s">
        <v>225</v>
      </c>
      <c r="L3551" s="4">
        <v>44750</v>
      </c>
      <c r="M3551" s="140">
        <v>6</v>
      </c>
      <c r="P3551" s="4" t="s">
        <v>214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274</v>
      </c>
      <c r="B3552" s="114" t="str">
        <f>VLOOKUP(A3552,'Data pick slip'!B:F,5,FALSE)</f>
        <v>KLJ-MC400-00</v>
      </c>
      <c r="F3552" s="157" t="s">
        <v>227</v>
      </c>
      <c r="I3552" s="269" t="s">
        <v>931</v>
      </c>
      <c r="J3552" s="139" t="s">
        <v>508</v>
      </c>
      <c r="K3552" s="51" t="s">
        <v>225</v>
      </c>
      <c r="L3552" s="4">
        <v>44750</v>
      </c>
      <c r="M3552" s="140">
        <v>36</v>
      </c>
      <c r="P3552" s="4" t="s">
        <v>214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261</v>
      </c>
      <c r="B3553" s="114" t="str">
        <f>VLOOKUP(A3553,'Data pick slip'!B:F,5,FALSE)</f>
        <v>KHJ-MC100-00</v>
      </c>
      <c r="F3553" s="157" t="s">
        <v>270</v>
      </c>
      <c r="H3553" s="138">
        <v>1709</v>
      </c>
      <c r="I3553" s="139" t="e">
        <f>VLOOKUP(H3553,Stock_list!A:R,18,FALSE)</f>
        <v>#N/A</v>
      </c>
      <c r="J3553" s="139" t="e">
        <f>VLOOKUP(H3553,Stock_list!A:S,17,FALSE)</f>
        <v>#N/A</v>
      </c>
      <c r="K3553" s="51" t="e">
        <f>VLOOKUP(H3553,Stock_list!A:T,16,FALSE)</f>
        <v>#N/A</v>
      </c>
      <c r="L3553" s="4">
        <v>44785</v>
      </c>
      <c r="M3553" s="140">
        <v>28</v>
      </c>
      <c r="P3553" s="4" t="e">
        <f>VLOOKUP(H3553,Stock_list!A:Y,25,FALSE)</f>
        <v>#N/A</v>
      </c>
      <c r="Q3553" s="143"/>
      <c r="T3553" s="144"/>
      <c r="U3553" s="145" t="e">
        <f>VLOOKUP(H3553,Stock_list!A:N,14,FALSE)</f>
        <v>#N/A</v>
      </c>
    </row>
    <row r="3554" spans="1:21" ht="16.5" customHeight="1">
      <c r="A3554" s="159" t="s">
        <v>264</v>
      </c>
      <c r="B3554" s="114" t="str">
        <f>VLOOKUP(A3554,'Data pick slip'!B:F,5,FALSE)</f>
        <v>KHJ-MC200-00</v>
      </c>
      <c r="F3554" s="157" t="s">
        <v>270</v>
      </c>
      <c r="H3554" s="138">
        <v>1709</v>
      </c>
      <c r="I3554" s="139" t="e">
        <f>VLOOKUP(H3554,Stock_list!A:R,18,FALSE)</f>
        <v>#N/A</v>
      </c>
      <c r="J3554" s="139" t="e">
        <f>VLOOKUP(H3554,Stock_list!A:S,17,FALSE)</f>
        <v>#N/A</v>
      </c>
      <c r="K3554" s="51" t="e">
        <f>VLOOKUP(H3554,Stock_list!A:T,16,FALSE)</f>
        <v>#N/A</v>
      </c>
      <c r="L3554" s="4">
        <v>44785</v>
      </c>
      <c r="M3554" s="140">
        <v>12</v>
      </c>
      <c r="P3554" s="4" t="e">
        <f>VLOOKUP(H3554,Stock_list!A:Y,25,FALSE)</f>
        <v>#N/A</v>
      </c>
      <c r="Q3554" s="143"/>
      <c r="T3554" s="144"/>
      <c r="U3554" s="145" t="e">
        <f>VLOOKUP(H3554,Stock_list!A:N,14,FALSE)</f>
        <v>#N/A</v>
      </c>
    </row>
    <row r="3555" spans="1:21" ht="16.5" customHeight="1">
      <c r="A3555" s="159" t="s">
        <v>265</v>
      </c>
      <c r="B3555" s="114" t="str">
        <f>VLOOKUP(A3555,'Data pick slip'!B:F,5,FALSE)</f>
        <v>KHJ-MC400-00</v>
      </c>
      <c r="F3555" s="157" t="s">
        <v>270</v>
      </c>
      <c r="H3555" s="138">
        <v>1709</v>
      </c>
      <c r="I3555" s="139" t="e">
        <f>VLOOKUP(H3555,Stock_list!A:R,18,FALSE)</f>
        <v>#N/A</v>
      </c>
      <c r="J3555" s="139" t="e">
        <f>VLOOKUP(H3555,Stock_list!A:S,17,FALSE)</f>
        <v>#N/A</v>
      </c>
      <c r="K3555" s="51" t="e">
        <f>VLOOKUP(H3555,Stock_list!A:T,16,FALSE)</f>
        <v>#N/A</v>
      </c>
      <c r="L3555" s="4">
        <v>44785</v>
      </c>
      <c r="M3555" s="140">
        <v>4</v>
      </c>
      <c r="P3555" s="4" t="e">
        <f>VLOOKUP(H3555,Stock_list!A:Y,25,FALSE)</f>
        <v>#N/A</v>
      </c>
      <c r="Q3555" s="143"/>
      <c r="T3555" s="144"/>
      <c r="U3555" s="145" t="e">
        <f>VLOOKUP(H3555,Stock_list!A:N,14,FALSE)</f>
        <v>#N/A</v>
      </c>
    </row>
    <row r="3556" spans="1:21" ht="16.5" customHeight="1">
      <c r="A3556" s="159" t="s">
        <v>261</v>
      </c>
      <c r="B3556" s="114" t="str">
        <f>VLOOKUP(A3556,'Data pick slip'!B:F,5,FALSE)</f>
        <v>KHJ-MC100-00</v>
      </c>
      <c r="F3556" s="157" t="s">
        <v>227</v>
      </c>
      <c r="I3556" s="269" t="s">
        <v>931</v>
      </c>
      <c r="J3556" s="139" t="s">
        <v>509</v>
      </c>
      <c r="K3556" s="51" t="s">
        <v>225</v>
      </c>
      <c r="L3556" s="4">
        <v>44763</v>
      </c>
      <c r="M3556" s="140">
        <v>120</v>
      </c>
      <c r="P3556" s="4" t="s">
        <v>214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264</v>
      </c>
      <c r="B3557" s="114" t="str">
        <f>VLOOKUP(A3557,'Data pick slip'!B:F,5,FALSE)</f>
        <v>KHJ-MC200-00</v>
      </c>
      <c r="F3557" s="157" t="s">
        <v>227</v>
      </c>
      <c r="I3557" s="269" t="s">
        <v>931</v>
      </c>
      <c r="J3557" s="139" t="s">
        <v>509</v>
      </c>
      <c r="K3557" s="51" t="s">
        <v>225</v>
      </c>
      <c r="L3557" s="4">
        <v>44763</v>
      </c>
      <c r="M3557" s="140">
        <v>13</v>
      </c>
      <c r="P3557" s="4" t="s">
        <v>214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265</v>
      </c>
      <c r="B3558" s="114" t="str">
        <f>VLOOKUP(A3558,'Data pick slip'!B:F,5,FALSE)</f>
        <v>KHJ-MC400-00</v>
      </c>
      <c r="F3558" s="157" t="s">
        <v>227</v>
      </c>
      <c r="I3558" s="269" t="s">
        <v>931</v>
      </c>
      <c r="J3558" s="139" t="s">
        <v>509</v>
      </c>
      <c r="K3558" s="51" t="s">
        <v>225</v>
      </c>
      <c r="L3558" s="4">
        <v>44763</v>
      </c>
      <c r="M3558" s="140">
        <v>5</v>
      </c>
      <c r="P3558" s="4" t="s">
        <v>214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266</v>
      </c>
      <c r="B3559" s="114" t="str">
        <f>VLOOKUP(A3559,'Data pick slip'!B:F,5,FALSE)</f>
        <v>KHJ-MC500-00</v>
      </c>
      <c r="F3559" s="157" t="s">
        <v>227</v>
      </c>
      <c r="I3559" s="269" t="s">
        <v>931</v>
      </c>
      <c r="J3559" s="139" t="s">
        <v>509</v>
      </c>
      <c r="K3559" s="51" t="s">
        <v>225</v>
      </c>
      <c r="L3559" s="4">
        <v>44763</v>
      </c>
      <c r="M3559" s="140">
        <v>5</v>
      </c>
      <c r="P3559" s="4" t="s">
        <v>214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261</v>
      </c>
      <c r="B3560" s="114" t="str">
        <f>VLOOKUP(A3560,'Data pick slip'!B:F,5,FALSE)</f>
        <v>KHJ-MC100-00</v>
      </c>
      <c r="F3560" s="157" t="s">
        <v>227</v>
      </c>
      <c r="I3560" s="269" t="s">
        <v>931</v>
      </c>
      <c r="J3560" s="139" t="s">
        <v>510</v>
      </c>
      <c r="K3560" s="51" t="s">
        <v>225</v>
      </c>
      <c r="L3560" s="4">
        <v>44775</v>
      </c>
      <c r="M3560" s="140">
        <v>210</v>
      </c>
      <c r="P3560" s="4" t="s">
        <v>214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264</v>
      </c>
      <c r="B3561" s="114" t="str">
        <f>VLOOKUP(A3561,'Data pick slip'!B:F,5,FALSE)</f>
        <v>KHJ-MC200-00</v>
      </c>
      <c r="F3561" s="157" t="s">
        <v>227</v>
      </c>
      <c r="I3561" s="269" t="s">
        <v>931</v>
      </c>
      <c r="J3561" s="139" t="s">
        <v>510</v>
      </c>
      <c r="K3561" s="51" t="s">
        <v>225</v>
      </c>
      <c r="L3561" s="4">
        <v>44775</v>
      </c>
      <c r="M3561" s="140">
        <v>20</v>
      </c>
      <c r="P3561" s="4" t="s">
        <v>214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272</v>
      </c>
      <c r="B3562" s="114" t="str">
        <f>VLOOKUP(A3562,'Data pick slip'!B:F,5,FALSE)</f>
        <v>KLJ-MC100-00</v>
      </c>
      <c r="F3562" s="157" t="s">
        <v>227</v>
      </c>
      <c r="I3562" s="269" t="s">
        <v>931</v>
      </c>
      <c r="J3562" s="139" t="s">
        <v>510</v>
      </c>
      <c r="K3562" s="51" t="s">
        <v>225</v>
      </c>
      <c r="L3562" s="4">
        <v>44775</v>
      </c>
      <c r="M3562" s="140">
        <v>95</v>
      </c>
      <c r="P3562" s="4" t="s">
        <v>214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261</v>
      </c>
      <c r="B3563" s="114" t="str">
        <f>VLOOKUP(A3563,'Data pick slip'!B:F,5,FALSE)</f>
        <v>KHJ-MC100-00</v>
      </c>
      <c r="F3563" s="157" t="s">
        <v>227</v>
      </c>
      <c r="H3563" s="138">
        <v>1710</v>
      </c>
      <c r="I3563" s="139" t="e">
        <f>VLOOKUP(H3563,Stock_list!A:R,18,FALSE)</f>
        <v>#N/A</v>
      </c>
      <c r="J3563" s="139" t="e">
        <f>VLOOKUP(H3563,Stock_list!A:S,17,FALSE)</f>
        <v>#N/A</v>
      </c>
      <c r="K3563" s="51" t="e">
        <f>VLOOKUP(H3563,Stock_list!A:T,16,FALSE)</f>
        <v>#N/A</v>
      </c>
      <c r="L3563" s="4">
        <v>44779</v>
      </c>
      <c r="M3563" s="140">
        <v>123</v>
      </c>
      <c r="O3563" s="132">
        <f>123-123</f>
        <v>0</v>
      </c>
      <c r="P3563" s="4" t="e">
        <f>VLOOKUP(H3563,Stock_list!A:Y,25,FALSE)</f>
        <v>#N/A</v>
      </c>
      <c r="Q3563" s="143"/>
      <c r="T3563" s="144"/>
      <c r="U3563" s="145" t="e">
        <f>VLOOKUP(H3563,Stock_list!A:N,14,FALSE)</f>
        <v>#N/A</v>
      </c>
    </row>
    <row r="3564" spans="1:21" ht="16.5" customHeight="1">
      <c r="A3564" s="159" t="s">
        <v>261</v>
      </c>
      <c r="B3564" s="114" t="str">
        <f>VLOOKUP(A3564,'Data pick slip'!B:F,5,FALSE)</f>
        <v>KHJ-MC100-00</v>
      </c>
      <c r="F3564" s="157" t="s">
        <v>227</v>
      </c>
      <c r="H3564" s="138">
        <v>1713</v>
      </c>
      <c r="I3564" s="139" t="e">
        <f>VLOOKUP(H3564,Stock_list!A:R,18,FALSE)</f>
        <v>#N/A</v>
      </c>
      <c r="J3564" s="139" t="e">
        <f>VLOOKUP(H3564,Stock_list!A:S,17,FALSE)</f>
        <v>#N/A</v>
      </c>
      <c r="K3564" s="51" t="e">
        <f>VLOOKUP(H3564,Stock_list!A:T,16,FALSE)</f>
        <v>#N/A</v>
      </c>
      <c r="L3564" s="4">
        <v>44883</v>
      </c>
      <c r="M3564" s="140" t="s">
        <v>1045</v>
      </c>
      <c r="N3564" s="143"/>
      <c r="P3564" s="4" t="e">
        <f>VLOOKUP(H3564,Stock_list!A:Y,25,FALSE)</f>
        <v>#N/A</v>
      </c>
      <c r="Q3564" s="143"/>
      <c r="T3564" s="144"/>
      <c r="U3564" s="145" t="e">
        <f>VLOOKUP(H3564,Stock_list!A:N,14,FALSE)</f>
        <v>#N/A</v>
      </c>
    </row>
    <row r="3565" spans="1:21" ht="16.5" customHeight="1">
      <c r="A3565" s="159" t="s">
        <v>264</v>
      </c>
      <c r="B3565" s="114" t="str">
        <f>VLOOKUP(A3565,'Data pick slip'!B:F,5,FALSE)</f>
        <v>KHJ-MC200-00</v>
      </c>
      <c r="F3565" s="157" t="s">
        <v>227</v>
      </c>
      <c r="H3565" s="138">
        <v>1713</v>
      </c>
      <c r="I3565" s="139" t="e">
        <f>VLOOKUP(H3565,Stock_list!A:R,18,FALSE)</f>
        <v>#N/A</v>
      </c>
      <c r="J3565" s="139" t="e">
        <f>VLOOKUP(H3565,Stock_list!A:S,17,FALSE)</f>
        <v>#N/A</v>
      </c>
      <c r="K3565" s="51" t="e">
        <f>VLOOKUP(H3565,Stock_list!A:T,16,FALSE)</f>
        <v>#N/A</v>
      </c>
      <c r="L3565" s="4">
        <v>44883</v>
      </c>
      <c r="M3565" s="140" t="s">
        <v>1046</v>
      </c>
      <c r="N3565" s="143"/>
      <c r="P3565" s="4" t="e">
        <f>VLOOKUP(H3565,Stock_list!A:Y,25,FALSE)</f>
        <v>#N/A</v>
      </c>
      <c r="Q3565" s="143"/>
      <c r="T3565" s="144"/>
      <c r="U3565" s="145" t="e">
        <f>VLOOKUP(H3565,Stock_list!A:N,14,FALSE)</f>
        <v>#N/A</v>
      </c>
    </row>
    <row r="3566" spans="1:21" ht="16.5" customHeight="1">
      <c r="A3566" s="159" t="s">
        <v>265</v>
      </c>
      <c r="B3566" s="114" t="str">
        <f>VLOOKUP(A3566,'Data pick slip'!B:F,5,FALSE)</f>
        <v>KHJ-MC400-00</v>
      </c>
      <c r="F3566" s="157" t="s">
        <v>227</v>
      </c>
      <c r="H3566" s="138">
        <v>1713</v>
      </c>
      <c r="I3566" s="139" t="e">
        <f>VLOOKUP(H3566,Stock_list!A:R,18,FALSE)</f>
        <v>#N/A</v>
      </c>
      <c r="J3566" s="139" t="e">
        <f>VLOOKUP(H3566,Stock_list!A:S,17,FALSE)</f>
        <v>#N/A</v>
      </c>
      <c r="K3566" s="51" t="e">
        <f>VLOOKUP(H3566,Stock_list!A:T,16,FALSE)</f>
        <v>#N/A</v>
      </c>
      <c r="L3566" s="4">
        <v>44883</v>
      </c>
      <c r="M3566" s="140" t="s">
        <v>1047</v>
      </c>
      <c r="N3566" s="143"/>
      <c r="P3566" s="4" t="e">
        <f>VLOOKUP(H3566,Stock_list!A:Y,25,FALSE)</f>
        <v>#N/A</v>
      </c>
      <c r="Q3566" s="143"/>
      <c r="T3566" s="144"/>
      <c r="U3566" s="145" t="e">
        <f>VLOOKUP(H3566,Stock_list!A:N,14,FALSE)</f>
        <v>#N/A</v>
      </c>
    </row>
    <row r="3567" spans="1:21" ht="16.5" customHeight="1">
      <c r="A3567" s="159" t="s">
        <v>266</v>
      </c>
      <c r="B3567" s="114" t="str">
        <f>VLOOKUP(A3567,'Data pick slip'!B:F,5,FALSE)</f>
        <v>KHJ-MC500-00</v>
      </c>
      <c r="F3567" s="157" t="s">
        <v>227</v>
      </c>
      <c r="H3567" s="138">
        <v>1713</v>
      </c>
      <c r="I3567" s="139" t="e">
        <f>VLOOKUP(H3567,Stock_list!A:R,18,FALSE)</f>
        <v>#N/A</v>
      </c>
      <c r="J3567" s="139" t="e">
        <f>VLOOKUP(H3567,Stock_list!A:S,17,FALSE)</f>
        <v>#N/A</v>
      </c>
      <c r="K3567" s="51" t="e">
        <f>VLOOKUP(H3567,Stock_list!A:T,16,FALSE)</f>
        <v>#N/A</v>
      </c>
      <c r="L3567" s="4">
        <v>44883</v>
      </c>
      <c r="M3567" s="140" t="s">
        <v>1048</v>
      </c>
      <c r="N3567" s="143"/>
      <c r="P3567" s="4" t="e">
        <f>VLOOKUP(H3567,Stock_list!A:Y,25,FALSE)</f>
        <v>#N/A</v>
      </c>
      <c r="Q3567" s="143"/>
      <c r="T3567" s="144"/>
      <c r="U3567" s="145" t="e">
        <f>VLOOKUP(H3567,Stock_list!A:N,14,FALSE)</f>
        <v>#N/A</v>
      </c>
    </row>
    <row r="3568" spans="1:21" ht="16.5" customHeight="1">
      <c r="A3568" s="159" t="s">
        <v>267</v>
      </c>
      <c r="B3568" s="114" t="str">
        <f>VLOOKUP(A3568,'Data pick slip'!B:F,5,FALSE)</f>
        <v>KHJ-MC600-00</v>
      </c>
      <c r="F3568" s="157" t="s">
        <v>227</v>
      </c>
      <c r="H3568" s="138">
        <v>1713</v>
      </c>
      <c r="I3568" s="139" t="e">
        <f>VLOOKUP(H3568,Stock_list!A:R,18,FALSE)</f>
        <v>#N/A</v>
      </c>
      <c r="J3568" s="139" t="e">
        <f>VLOOKUP(H3568,Stock_list!A:S,17,FALSE)</f>
        <v>#N/A</v>
      </c>
      <c r="K3568" s="51" t="e">
        <f>VLOOKUP(H3568,Stock_list!A:T,16,FALSE)</f>
        <v>#N/A</v>
      </c>
      <c r="L3568" s="4">
        <v>44883</v>
      </c>
      <c r="M3568" s="140" t="s">
        <v>1048</v>
      </c>
      <c r="N3568" s="143"/>
      <c r="P3568" s="4" t="e">
        <f>VLOOKUP(H3568,Stock_list!A:Y,25,FALSE)</f>
        <v>#N/A</v>
      </c>
      <c r="Q3568" s="143"/>
      <c r="T3568" s="144"/>
      <c r="U3568" s="145" t="e">
        <f>VLOOKUP(H3568,Stock_list!A:N,14,FALSE)</f>
        <v>#N/A</v>
      </c>
    </row>
    <row r="3569" spans="1:21" ht="16.5" customHeight="1">
      <c r="A3569" s="159" t="s">
        <v>261</v>
      </c>
      <c r="B3569" s="114" t="str">
        <f>VLOOKUP(A3569,'Data pick slip'!B:F,5,FALSE)</f>
        <v>KHJ-MC100-00</v>
      </c>
      <c r="F3569" s="157" t="s">
        <v>227</v>
      </c>
      <c r="I3569" s="269" t="s">
        <v>931</v>
      </c>
      <c r="J3569" s="139" t="s">
        <v>511</v>
      </c>
      <c r="K3569" s="51" t="s">
        <v>225</v>
      </c>
      <c r="L3569" s="4">
        <v>44778</v>
      </c>
      <c r="M3569" s="140">
        <v>124</v>
      </c>
      <c r="P3569" s="4" t="s">
        <v>214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264</v>
      </c>
      <c r="B3570" s="114" t="str">
        <f>VLOOKUP(A3570,'Data pick slip'!B:F,5,FALSE)</f>
        <v>KHJ-MC200-00</v>
      </c>
      <c r="F3570" s="157" t="s">
        <v>227</v>
      </c>
      <c r="I3570" s="269" t="s">
        <v>931</v>
      </c>
      <c r="J3570" s="139" t="s">
        <v>511</v>
      </c>
      <c r="K3570" s="51" t="s">
        <v>225</v>
      </c>
      <c r="L3570" s="4">
        <v>44778</v>
      </c>
      <c r="M3570" s="140">
        <v>5</v>
      </c>
      <c r="P3570" s="4" t="s">
        <v>214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265</v>
      </c>
      <c r="B3571" s="114" t="str">
        <f>VLOOKUP(A3571,'Data pick slip'!B:F,5,FALSE)</f>
        <v>KHJ-MC400-00</v>
      </c>
      <c r="F3571" s="157" t="s">
        <v>227</v>
      </c>
      <c r="I3571" s="269" t="s">
        <v>931</v>
      </c>
      <c r="J3571" s="139" t="s">
        <v>511</v>
      </c>
      <c r="K3571" s="51" t="s">
        <v>225</v>
      </c>
      <c r="L3571" s="4">
        <v>44778</v>
      </c>
      <c r="M3571" s="140">
        <v>3</v>
      </c>
      <c r="P3571" s="4" t="s">
        <v>214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266</v>
      </c>
      <c r="B3572" s="114" t="str">
        <f>VLOOKUP(A3572,'Data pick slip'!B:F,5,FALSE)</f>
        <v>KHJ-MC500-00</v>
      </c>
      <c r="F3572" s="157" t="s">
        <v>227</v>
      </c>
      <c r="I3572" s="269" t="s">
        <v>931</v>
      </c>
      <c r="J3572" s="139" t="s">
        <v>511</v>
      </c>
      <c r="K3572" s="51" t="s">
        <v>225</v>
      </c>
      <c r="L3572" s="4">
        <v>44778</v>
      </c>
      <c r="M3572" s="140">
        <v>7</v>
      </c>
      <c r="P3572" s="4" t="s">
        <v>214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261</v>
      </c>
      <c r="B3573" s="114" t="str">
        <f>VLOOKUP(A3573,'Data pick slip'!B:F,5,FALSE)</f>
        <v>KHJ-MC100-00</v>
      </c>
      <c r="F3573" s="157" t="s">
        <v>290</v>
      </c>
      <c r="H3573" s="138">
        <v>1715</v>
      </c>
      <c r="I3573" s="139" t="e">
        <f>VLOOKUP(H3573,Stock_list!A:R,18,FALSE)</f>
        <v>#N/A</v>
      </c>
      <c r="J3573" s="139" t="e">
        <f>VLOOKUP(H3573,Stock_list!A:S,17,FALSE)</f>
        <v>#N/A</v>
      </c>
      <c r="K3573" s="51" t="e">
        <f>VLOOKUP(H3573,Stock_list!A:T,16,FALSE)</f>
        <v>#N/A</v>
      </c>
      <c r="L3573" s="4">
        <v>44790</v>
      </c>
      <c r="M3573" s="140">
        <v>8</v>
      </c>
      <c r="P3573" s="4" t="e">
        <f>VLOOKUP(H3573,Stock_list!A:Y,25,FALSE)</f>
        <v>#N/A</v>
      </c>
      <c r="Q3573" s="143"/>
      <c r="T3573" s="144"/>
      <c r="U3573" s="145" t="e">
        <f>VLOOKUP(H3573,Stock_list!A:N,14,FALSE)</f>
        <v>#N/A</v>
      </c>
    </row>
    <row r="3574" spans="1:21" ht="16.5" customHeight="1">
      <c r="A3574" s="159" t="s">
        <v>272</v>
      </c>
      <c r="B3574" s="114" t="str">
        <f>VLOOKUP(A3574,'Data pick slip'!B:F,5,FALSE)</f>
        <v>KLJ-MC100-00</v>
      </c>
      <c r="F3574" s="157" t="s">
        <v>270</v>
      </c>
      <c r="H3574" s="138">
        <v>1707</v>
      </c>
      <c r="I3574" s="139" t="e">
        <f>VLOOKUP(H3574,Stock_list!A:R,18,FALSE)</f>
        <v>#N/A</v>
      </c>
      <c r="J3574" s="139" t="e">
        <f>VLOOKUP(H3574,Stock_list!A:S,17,FALSE)</f>
        <v>#N/A</v>
      </c>
      <c r="K3574" s="51" t="e">
        <f>VLOOKUP(H3574,Stock_list!A:T,16,FALSE)</f>
        <v>#N/A</v>
      </c>
      <c r="L3574" s="4">
        <v>44789</v>
      </c>
      <c r="M3574" s="140">
        <v>55</v>
      </c>
      <c r="P3574" s="4" t="e">
        <f>VLOOKUP(H3574,Stock_list!A:Y,25,FALSE)</f>
        <v>#N/A</v>
      </c>
      <c r="Q3574" s="143"/>
      <c r="T3574" s="144"/>
      <c r="U3574" s="145" t="e">
        <f>VLOOKUP(H3574,Stock_list!A:N,14,FALSE)</f>
        <v>#N/A</v>
      </c>
    </row>
    <row r="3575" spans="1:21" ht="16.5" customHeight="1">
      <c r="A3575" s="159" t="s">
        <v>265</v>
      </c>
      <c r="B3575" s="114" t="str">
        <f>VLOOKUP(A3575,'Data pick slip'!B:F,5,FALSE)</f>
        <v>KHJ-MC400-00</v>
      </c>
      <c r="F3575" s="157" t="s">
        <v>227</v>
      </c>
      <c r="I3575" s="139" t="s">
        <v>371</v>
      </c>
      <c r="J3575" s="267" t="s">
        <v>1049</v>
      </c>
      <c r="K3575" s="51" t="s">
        <v>520</v>
      </c>
      <c r="L3575" s="4">
        <v>44795</v>
      </c>
      <c r="M3575" s="140">
        <v>1</v>
      </c>
      <c r="P3575" s="4" t="s">
        <v>214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261</v>
      </c>
      <c r="B3576" s="114" t="str">
        <f>VLOOKUP(A3576,'Data pick slip'!B:F,5,FALSE)</f>
        <v>KHJ-MC100-00</v>
      </c>
      <c r="F3576" s="157" t="s">
        <v>270</v>
      </c>
      <c r="H3576" s="138">
        <v>1717</v>
      </c>
      <c r="I3576" s="139" t="e">
        <f>VLOOKUP(H3576,Stock_list!A:R,18,FALSE)</f>
        <v>#N/A</v>
      </c>
      <c r="J3576" s="139" t="e">
        <f>VLOOKUP(H3576,Stock_list!A:S,17,FALSE)</f>
        <v>#N/A</v>
      </c>
      <c r="K3576" s="51" t="e">
        <f>VLOOKUP(H3576,Stock_list!A:T,16,FALSE)</f>
        <v>#N/A</v>
      </c>
      <c r="L3576" s="4">
        <v>44831</v>
      </c>
      <c r="M3576" s="143">
        <v>35</v>
      </c>
      <c r="P3576" s="4" t="e">
        <f>VLOOKUP(H3576,Stock_list!A:Y,25,FALSE)</f>
        <v>#N/A</v>
      </c>
      <c r="Q3576" s="143"/>
      <c r="T3576" s="144"/>
      <c r="U3576" s="145" t="e">
        <f>VLOOKUP(H3576,Stock_list!A:N,14,FALSE)</f>
        <v>#N/A</v>
      </c>
    </row>
    <row r="3577" spans="1:21" ht="16.5" customHeight="1">
      <c r="A3577" s="159" t="s">
        <v>264</v>
      </c>
      <c r="B3577" s="114" t="str">
        <f>VLOOKUP(A3577,'Data pick slip'!B:F,5,FALSE)</f>
        <v>KHJ-MC200-00</v>
      </c>
      <c r="F3577" s="157" t="s">
        <v>270</v>
      </c>
      <c r="H3577" s="138">
        <v>1717</v>
      </c>
      <c r="I3577" s="139" t="e">
        <f>VLOOKUP(H3577,Stock_list!A:R,18,FALSE)</f>
        <v>#N/A</v>
      </c>
      <c r="J3577" s="139" t="e">
        <f>VLOOKUP(H3577,Stock_list!A:S,17,FALSE)</f>
        <v>#N/A</v>
      </c>
      <c r="K3577" s="51" t="e">
        <f>VLOOKUP(H3577,Stock_list!A:T,16,FALSE)</f>
        <v>#N/A</v>
      </c>
      <c r="L3577" s="4">
        <v>44831</v>
      </c>
      <c r="M3577" s="143">
        <v>15</v>
      </c>
      <c r="P3577" s="4" t="e">
        <f>VLOOKUP(H3577,Stock_list!A:Y,25,FALSE)</f>
        <v>#N/A</v>
      </c>
      <c r="Q3577" s="143"/>
      <c r="T3577" s="144"/>
      <c r="U3577" s="145" t="e">
        <f>VLOOKUP(H3577,Stock_list!A:N,14,FALSE)</f>
        <v>#N/A</v>
      </c>
    </row>
    <row r="3578" spans="1:21" ht="16.5" customHeight="1">
      <c r="A3578" s="159" t="s">
        <v>265</v>
      </c>
      <c r="B3578" s="114" t="str">
        <f>VLOOKUP(A3578,'Data pick slip'!B:F,5,FALSE)</f>
        <v>KHJ-MC400-00</v>
      </c>
      <c r="F3578" s="157" t="s">
        <v>270</v>
      </c>
      <c r="H3578" s="138">
        <v>1717</v>
      </c>
      <c r="I3578" s="139" t="e">
        <f>VLOOKUP(H3578,Stock_list!A:R,18,FALSE)</f>
        <v>#N/A</v>
      </c>
      <c r="J3578" s="139" t="e">
        <f>VLOOKUP(H3578,Stock_list!A:S,17,FALSE)</f>
        <v>#N/A</v>
      </c>
      <c r="K3578" s="51" t="e">
        <f>VLOOKUP(H3578,Stock_list!A:T,16,FALSE)</f>
        <v>#N/A</v>
      </c>
      <c r="L3578" s="4">
        <v>44831</v>
      </c>
      <c r="M3578" s="143">
        <v>2</v>
      </c>
      <c r="P3578" s="4" t="e">
        <f>VLOOKUP(H3578,Stock_list!A:Y,25,FALSE)</f>
        <v>#N/A</v>
      </c>
      <c r="Q3578" s="143"/>
      <c r="T3578" s="144"/>
      <c r="U3578" s="145" t="e">
        <f>VLOOKUP(H3578,Stock_list!A:N,14,FALSE)</f>
        <v>#N/A</v>
      </c>
    </row>
    <row r="3579" spans="1:21" ht="16.5" customHeight="1">
      <c r="A3579" s="159" t="s">
        <v>261</v>
      </c>
      <c r="B3579" s="114" t="str">
        <f>VLOOKUP(A3579,'Data pick slip'!B:F,5,FALSE)</f>
        <v>KHJ-MC100-00</v>
      </c>
      <c r="F3579" s="157" t="s">
        <v>227</v>
      </c>
      <c r="I3579" s="269" t="s">
        <v>931</v>
      </c>
      <c r="J3579" s="139" t="s">
        <v>513</v>
      </c>
      <c r="K3579" s="51" t="s">
        <v>225</v>
      </c>
      <c r="L3579" s="4">
        <v>44790</v>
      </c>
      <c r="M3579" s="140">
        <v>350</v>
      </c>
      <c r="P3579" s="4" t="s">
        <v>214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264</v>
      </c>
      <c r="B3580" s="114" t="str">
        <f>VLOOKUP(A3580,'Data pick slip'!B:F,5,FALSE)</f>
        <v>KHJ-MC200-00</v>
      </c>
      <c r="F3580" s="157" t="s">
        <v>227</v>
      </c>
      <c r="I3580" s="269" t="s">
        <v>931</v>
      </c>
      <c r="J3580" s="139" t="s">
        <v>513</v>
      </c>
      <c r="K3580" s="51" t="s">
        <v>225</v>
      </c>
      <c r="L3580" s="4">
        <v>44790</v>
      </c>
      <c r="M3580" s="140">
        <v>70</v>
      </c>
      <c r="P3580" s="4" t="s">
        <v>214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265</v>
      </c>
      <c r="B3581" s="114" t="str">
        <f>VLOOKUP(A3581,'Data pick slip'!B:F,5,FALSE)</f>
        <v>KHJ-MC400-00</v>
      </c>
      <c r="F3581" s="157" t="s">
        <v>227</v>
      </c>
      <c r="I3581" s="269" t="s">
        <v>931</v>
      </c>
      <c r="J3581" s="139" t="s">
        <v>513</v>
      </c>
      <c r="K3581" s="51" t="s">
        <v>225</v>
      </c>
      <c r="L3581" s="4">
        <v>44790</v>
      </c>
      <c r="M3581" s="140">
        <v>10</v>
      </c>
      <c r="P3581" s="4" t="s">
        <v>214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261</v>
      </c>
      <c r="B3582" s="114" t="str">
        <f>VLOOKUP(A3582,'Data pick slip'!B:F,5,FALSE)</f>
        <v>KHJ-MC100-00</v>
      </c>
      <c r="F3582" s="157" t="s">
        <v>270</v>
      </c>
      <c r="H3582" s="138">
        <v>1719</v>
      </c>
      <c r="I3582" s="139" t="e">
        <f>VLOOKUP(H3582,Stock_list!A:R,18,FALSE)</f>
        <v>#N/A</v>
      </c>
      <c r="J3582" s="139" t="e">
        <f>VLOOKUP(H3582,Stock_list!A:S,17,FALSE)</f>
        <v>#N/A</v>
      </c>
      <c r="K3582" s="51" t="e">
        <f>VLOOKUP(H3582,Stock_list!A:T,16,FALSE)</f>
        <v>#N/A</v>
      </c>
      <c r="L3582" s="4"/>
      <c r="N3582" s="132">
        <v>32</v>
      </c>
      <c r="P3582" s="4" t="e">
        <f>VLOOKUP(H3582,Stock_list!A:Y,25,FALSE)</f>
        <v>#N/A</v>
      </c>
      <c r="Q3582" s="143"/>
      <c r="T3582" s="144"/>
      <c r="U3582" s="145" t="e">
        <f>VLOOKUP(H3582,Stock_list!A:N,14,FALSE)</f>
        <v>#N/A</v>
      </c>
    </row>
    <row r="3583" spans="1:21" ht="16.5" customHeight="1">
      <c r="A3583" s="159" t="s">
        <v>264</v>
      </c>
      <c r="B3583" s="114" t="str">
        <f>VLOOKUP(A3583,'Data pick slip'!B:F,5,FALSE)</f>
        <v>KHJ-MC200-00</v>
      </c>
      <c r="F3583" s="157" t="s">
        <v>270</v>
      </c>
      <c r="H3583" s="138">
        <v>1719</v>
      </c>
      <c r="I3583" s="139" t="e">
        <f>VLOOKUP(H3583,Stock_list!A:R,18,FALSE)</f>
        <v>#N/A</v>
      </c>
      <c r="J3583" s="139" t="e">
        <f>VLOOKUP(H3583,Stock_list!A:S,17,FALSE)</f>
        <v>#N/A</v>
      </c>
      <c r="K3583" s="51" t="e">
        <f>VLOOKUP(H3583,Stock_list!A:T,16,FALSE)</f>
        <v>#N/A</v>
      </c>
      <c r="L3583" s="4"/>
      <c r="N3583" s="132">
        <v>7</v>
      </c>
      <c r="P3583" s="4" t="e">
        <f>VLOOKUP(H3583,Stock_list!A:Y,25,FALSE)</f>
        <v>#N/A</v>
      </c>
      <c r="Q3583" s="143"/>
      <c r="T3583" s="144"/>
      <c r="U3583" s="145" t="e">
        <f>VLOOKUP(H3583,Stock_list!A:N,14,FALSE)</f>
        <v>#N/A</v>
      </c>
    </row>
    <row r="3584" spans="1:21" ht="16.5" customHeight="1">
      <c r="A3584" s="159" t="s">
        <v>265</v>
      </c>
      <c r="B3584" s="114" t="str">
        <f>VLOOKUP(A3584,'Data pick slip'!B:F,5,FALSE)</f>
        <v>KHJ-MC400-00</v>
      </c>
      <c r="F3584" s="157" t="s">
        <v>270</v>
      </c>
      <c r="H3584" s="138">
        <v>1719</v>
      </c>
      <c r="I3584" s="139" t="e">
        <f>VLOOKUP(H3584,Stock_list!A:R,18,FALSE)</f>
        <v>#N/A</v>
      </c>
      <c r="J3584" s="139" t="e">
        <f>VLOOKUP(H3584,Stock_list!A:S,17,FALSE)</f>
        <v>#N/A</v>
      </c>
      <c r="K3584" s="51" t="e">
        <f>VLOOKUP(H3584,Stock_list!A:T,16,FALSE)</f>
        <v>#N/A</v>
      </c>
      <c r="L3584" s="4"/>
      <c r="N3584" s="132">
        <v>2</v>
      </c>
      <c r="P3584" s="4" t="e">
        <f>VLOOKUP(H3584,Stock_list!A:Y,25,FALSE)</f>
        <v>#N/A</v>
      </c>
      <c r="Q3584" s="143"/>
      <c r="T3584" s="144"/>
      <c r="U3584" s="145" t="e">
        <f>VLOOKUP(H3584,Stock_list!A:N,14,FALSE)</f>
        <v>#N/A</v>
      </c>
    </row>
    <row r="3585" spans="1:21" ht="16.5" customHeight="1">
      <c r="A3585" s="159" t="s">
        <v>261</v>
      </c>
      <c r="B3585" s="114" t="str">
        <f>VLOOKUP(A3585,'Data pick slip'!B:F,5,FALSE)</f>
        <v>KHJ-MC100-00</v>
      </c>
      <c r="F3585" s="157" t="s">
        <v>227</v>
      </c>
      <c r="I3585" s="269" t="s">
        <v>931</v>
      </c>
      <c r="J3585" s="139" t="s">
        <v>512</v>
      </c>
      <c r="K3585" s="51" t="s">
        <v>225</v>
      </c>
      <c r="L3585" s="4">
        <v>44789</v>
      </c>
      <c r="M3585" s="140">
        <v>410</v>
      </c>
      <c r="P3585" s="4" t="s">
        <v>214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264</v>
      </c>
      <c r="B3586" s="114" t="str">
        <f>VLOOKUP(A3586,'Data pick slip'!B:F,5,FALSE)</f>
        <v>KHJ-MC200-00</v>
      </c>
      <c r="F3586" s="157" t="s">
        <v>227</v>
      </c>
      <c r="I3586" s="269" t="s">
        <v>931</v>
      </c>
      <c r="J3586" s="139" t="s">
        <v>512</v>
      </c>
      <c r="K3586" s="51" t="s">
        <v>225</v>
      </c>
      <c r="L3586" s="4">
        <v>44789</v>
      </c>
      <c r="M3586" s="140">
        <v>20</v>
      </c>
      <c r="P3586" s="4" t="s">
        <v>214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265</v>
      </c>
      <c r="B3587" s="114" t="str">
        <f>VLOOKUP(A3587,'Data pick slip'!B:F,5,FALSE)</f>
        <v>KHJ-MC400-00</v>
      </c>
      <c r="F3587" s="157" t="s">
        <v>227</v>
      </c>
      <c r="I3587" s="269" t="s">
        <v>931</v>
      </c>
      <c r="J3587" s="139" t="s">
        <v>512</v>
      </c>
      <c r="K3587" s="51" t="s">
        <v>225</v>
      </c>
      <c r="L3587" s="4">
        <v>44789</v>
      </c>
      <c r="M3587" s="140">
        <v>20</v>
      </c>
      <c r="P3587" s="4" t="s">
        <v>214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267</v>
      </c>
      <c r="B3588" s="114" t="str">
        <f>VLOOKUP(A3588,'Data pick slip'!B:F,5,FALSE)</f>
        <v>KHJ-MC600-00</v>
      </c>
      <c r="F3588" s="157" t="s">
        <v>227</v>
      </c>
      <c r="I3588" s="269" t="s">
        <v>931</v>
      </c>
      <c r="J3588" s="139" t="s">
        <v>512</v>
      </c>
      <c r="K3588" s="51" t="s">
        <v>225</v>
      </c>
      <c r="L3588" s="4">
        <v>44789</v>
      </c>
      <c r="M3588" s="140">
        <v>25</v>
      </c>
      <c r="P3588" s="4" t="s">
        <v>214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261</v>
      </c>
      <c r="B3589" s="114" t="str">
        <f>VLOOKUP(A3589,'Data pick slip'!B:F,5,FALSE)</f>
        <v>KHJ-MC100-00</v>
      </c>
      <c r="F3589" s="157" t="s">
        <v>227</v>
      </c>
      <c r="I3589" s="269" t="s">
        <v>931</v>
      </c>
      <c r="J3589" s="139" t="s">
        <v>513</v>
      </c>
      <c r="K3589" s="51" t="s">
        <v>225</v>
      </c>
      <c r="L3589" s="4">
        <v>44790</v>
      </c>
      <c r="M3589" s="140">
        <v>200</v>
      </c>
      <c r="P3589" s="4" t="s">
        <v>214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264</v>
      </c>
      <c r="B3590" s="114" t="str">
        <f>VLOOKUP(A3590,'Data pick slip'!B:F,5,FALSE)</f>
        <v>KHJ-MC200-00</v>
      </c>
      <c r="F3590" s="157" t="s">
        <v>227</v>
      </c>
      <c r="I3590" s="269" t="s">
        <v>931</v>
      </c>
      <c r="J3590" s="139" t="s">
        <v>513</v>
      </c>
      <c r="K3590" s="51" t="s">
        <v>225</v>
      </c>
      <c r="L3590" s="4">
        <v>44790</v>
      </c>
      <c r="M3590" s="140">
        <v>240</v>
      </c>
      <c r="P3590" s="4" t="s">
        <v>214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265</v>
      </c>
      <c r="B3591" s="114" t="str">
        <f>VLOOKUP(A3591,'Data pick slip'!B:F,5,FALSE)</f>
        <v>KHJ-MC400-00</v>
      </c>
      <c r="F3591" s="157" t="s">
        <v>227</v>
      </c>
      <c r="I3591" s="269" t="s">
        <v>931</v>
      </c>
      <c r="J3591" s="139" t="s">
        <v>513</v>
      </c>
      <c r="K3591" s="51" t="s">
        <v>225</v>
      </c>
      <c r="L3591" s="4">
        <v>44790</v>
      </c>
      <c r="M3591" s="140">
        <v>20</v>
      </c>
      <c r="P3591" s="4" t="s">
        <v>214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266</v>
      </c>
      <c r="B3592" s="114" t="str">
        <f>VLOOKUP(A3592,'Data pick slip'!B:F,5,FALSE)</f>
        <v>KHJ-MC500-00</v>
      </c>
      <c r="F3592" s="157" t="s">
        <v>227</v>
      </c>
      <c r="I3592" s="269" t="s">
        <v>931</v>
      </c>
      <c r="J3592" s="139" t="s">
        <v>513</v>
      </c>
      <c r="K3592" s="51" t="s">
        <v>225</v>
      </c>
      <c r="L3592" s="4">
        <v>44790</v>
      </c>
      <c r="M3592" s="140">
        <v>20</v>
      </c>
      <c r="P3592" s="4" t="s">
        <v>214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261</v>
      </c>
      <c r="B3593" s="114" t="str">
        <f>VLOOKUP(A3593,'Data pick slip'!B:F,5,FALSE)</f>
        <v>KHJ-MC100-00</v>
      </c>
      <c r="F3593" s="157" t="s">
        <v>227</v>
      </c>
      <c r="I3593" s="269" t="s">
        <v>931</v>
      </c>
      <c r="J3593" s="139" t="s">
        <v>514</v>
      </c>
      <c r="K3593" s="51" t="s">
        <v>225</v>
      </c>
      <c r="L3593" s="4">
        <v>44791</v>
      </c>
      <c r="M3593" s="140">
        <v>330</v>
      </c>
      <c r="P3593" s="4" t="s">
        <v>214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264</v>
      </c>
      <c r="B3594" s="114" t="str">
        <f>VLOOKUP(A3594,'Data pick slip'!B:F,5,FALSE)</f>
        <v>KHJ-MC200-00</v>
      </c>
      <c r="F3594" s="157" t="s">
        <v>227</v>
      </c>
      <c r="I3594" s="269" t="s">
        <v>931</v>
      </c>
      <c r="J3594" s="139" t="s">
        <v>514</v>
      </c>
      <c r="K3594" s="51" t="s">
        <v>225</v>
      </c>
      <c r="L3594" s="4">
        <v>44791</v>
      </c>
      <c r="M3594" s="140">
        <v>50</v>
      </c>
      <c r="P3594" s="4" t="s">
        <v>214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265</v>
      </c>
      <c r="B3595" s="114" t="str">
        <f>VLOOKUP(A3595,'Data pick slip'!B:F,5,FALSE)</f>
        <v>KHJ-MC400-00</v>
      </c>
      <c r="F3595" s="157" t="s">
        <v>227</v>
      </c>
      <c r="I3595" s="269" t="s">
        <v>931</v>
      </c>
      <c r="J3595" s="139" t="s">
        <v>514</v>
      </c>
      <c r="K3595" s="51" t="s">
        <v>225</v>
      </c>
      <c r="L3595" s="4">
        <v>44791</v>
      </c>
      <c r="M3595" s="140">
        <v>30</v>
      </c>
      <c r="P3595" s="4" t="s">
        <v>214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266</v>
      </c>
      <c r="B3596" s="114" t="str">
        <f>VLOOKUP(A3596,'Data pick slip'!B:F,5,FALSE)</f>
        <v>KHJ-MC500-00</v>
      </c>
      <c r="F3596" s="157" t="s">
        <v>227</v>
      </c>
      <c r="I3596" s="269" t="s">
        <v>931</v>
      </c>
      <c r="J3596" s="139" t="s">
        <v>514</v>
      </c>
      <c r="K3596" s="51" t="s">
        <v>225</v>
      </c>
      <c r="L3596" s="4">
        <v>44791</v>
      </c>
      <c r="M3596" s="140">
        <v>20</v>
      </c>
      <c r="P3596" s="4" t="s">
        <v>214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267</v>
      </c>
      <c r="B3597" s="114" t="str">
        <f>VLOOKUP(A3597,'Data pick slip'!B:F,5,FALSE)</f>
        <v>KHJ-MC600-00</v>
      </c>
      <c r="F3597" s="157" t="s">
        <v>227</v>
      </c>
      <c r="I3597" s="269" t="s">
        <v>931</v>
      </c>
      <c r="J3597" s="139" t="s">
        <v>514</v>
      </c>
      <c r="K3597" s="51" t="s">
        <v>225</v>
      </c>
      <c r="L3597" s="4">
        <v>44791</v>
      </c>
      <c r="M3597" s="140">
        <v>10</v>
      </c>
      <c r="P3597" s="4" t="s">
        <v>214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268</v>
      </c>
      <c r="B3598" s="114" t="str">
        <f>VLOOKUP(A3598,'Data pick slip'!B:F,5,FALSE)</f>
        <v>KHJ-MC700-00</v>
      </c>
      <c r="F3598" s="157" t="s">
        <v>227</v>
      </c>
      <c r="I3598" s="269" t="s">
        <v>931</v>
      </c>
      <c r="J3598" s="139" t="s">
        <v>514</v>
      </c>
      <c r="K3598" s="51" t="s">
        <v>225</v>
      </c>
      <c r="L3598" s="4">
        <v>44791</v>
      </c>
      <c r="M3598" s="140">
        <v>10</v>
      </c>
      <c r="P3598" s="4" t="s">
        <v>214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261</v>
      </c>
      <c r="B3599" s="114" t="str">
        <f>VLOOKUP(A3599,'Data pick slip'!B:F,5,FALSE)</f>
        <v>KHJ-MC100-00</v>
      </c>
      <c r="F3599" s="157" t="s">
        <v>227</v>
      </c>
      <c r="I3599" s="269" t="s">
        <v>931</v>
      </c>
      <c r="J3599" s="139" t="s">
        <v>515</v>
      </c>
      <c r="K3599" s="51" t="s">
        <v>225</v>
      </c>
      <c r="L3599" s="4">
        <v>44803</v>
      </c>
      <c r="M3599" s="140">
        <v>390</v>
      </c>
      <c r="P3599" s="4" t="s">
        <v>214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264</v>
      </c>
      <c r="B3600" s="114" t="str">
        <f>VLOOKUP(A3600,'Data pick slip'!B:F,5,FALSE)</f>
        <v>KHJ-MC200-00</v>
      </c>
      <c r="F3600" s="157" t="s">
        <v>227</v>
      </c>
      <c r="I3600" s="269" t="s">
        <v>931</v>
      </c>
      <c r="J3600" s="139" t="s">
        <v>515</v>
      </c>
      <c r="K3600" s="51" t="s">
        <v>225</v>
      </c>
      <c r="L3600" s="4">
        <v>44803</v>
      </c>
      <c r="M3600" s="140">
        <v>60</v>
      </c>
      <c r="P3600" s="4" t="s">
        <v>214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266</v>
      </c>
      <c r="B3601" s="114" t="str">
        <f>VLOOKUP(A3601,'Data pick slip'!B:F,5,FALSE)</f>
        <v>KHJ-MC500-00</v>
      </c>
      <c r="F3601" s="157" t="s">
        <v>227</v>
      </c>
      <c r="I3601" s="269" t="s">
        <v>931</v>
      </c>
      <c r="J3601" s="139" t="s">
        <v>515</v>
      </c>
      <c r="K3601" s="51" t="s">
        <v>225</v>
      </c>
      <c r="L3601" s="4">
        <v>44803</v>
      </c>
      <c r="M3601" s="140">
        <v>30</v>
      </c>
      <c r="P3601" s="4" t="s">
        <v>214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261</v>
      </c>
      <c r="B3602" s="114" t="str">
        <f>VLOOKUP(A3602,'Data pick slip'!B:F,5,FALSE)</f>
        <v>KHJ-MC100-00</v>
      </c>
      <c r="F3602" s="157" t="s">
        <v>227</v>
      </c>
      <c r="I3602" s="269" t="s">
        <v>931</v>
      </c>
      <c r="J3602" s="139" t="s">
        <v>515</v>
      </c>
      <c r="K3602" s="51" t="s">
        <v>225</v>
      </c>
      <c r="L3602" s="4">
        <v>44803</v>
      </c>
      <c r="M3602" s="140">
        <v>420</v>
      </c>
      <c r="P3602" s="4" t="s">
        <v>214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264</v>
      </c>
      <c r="B3603" s="114" t="str">
        <f>VLOOKUP(A3603,'Data pick slip'!B:F,5,FALSE)</f>
        <v>KHJ-MC200-00</v>
      </c>
      <c r="F3603" s="157" t="s">
        <v>227</v>
      </c>
      <c r="I3603" s="269" t="s">
        <v>931</v>
      </c>
      <c r="J3603" s="139" t="s">
        <v>515</v>
      </c>
      <c r="K3603" s="51" t="s">
        <v>225</v>
      </c>
      <c r="L3603" s="4">
        <v>44803</v>
      </c>
      <c r="M3603" s="140">
        <v>100</v>
      </c>
      <c r="P3603" s="4" t="s">
        <v>214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265</v>
      </c>
      <c r="B3604" s="114" t="str">
        <f>VLOOKUP(A3604,'Data pick slip'!B:F,5,FALSE)</f>
        <v>KHJ-MC400-00</v>
      </c>
      <c r="F3604" s="157" t="s">
        <v>227</v>
      </c>
      <c r="I3604" s="269" t="s">
        <v>931</v>
      </c>
      <c r="J3604" s="139" t="s">
        <v>515</v>
      </c>
      <c r="K3604" s="51" t="s">
        <v>225</v>
      </c>
      <c r="L3604" s="4">
        <v>44803</v>
      </c>
      <c r="M3604" s="140">
        <v>50</v>
      </c>
      <c r="P3604" s="4" t="s">
        <v>214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266</v>
      </c>
      <c r="B3605" s="114" t="str">
        <f>VLOOKUP(A3605,'Data pick slip'!B:F,5,FALSE)</f>
        <v>KHJ-MC500-00</v>
      </c>
      <c r="F3605" s="157" t="s">
        <v>227</v>
      </c>
      <c r="I3605" s="269" t="s">
        <v>931</v>
      </c>
      <c r="J3605" s="139" t="s">
        <v>515</v>
      </c>
      <c r="K3605" s="51" t="s">
        <v>225</v>
      </c>
      <c r="L3605" s="4">
        <v>44803</v>
      </c>
      <c r="M3605" s="140">
        <v>20</v>
      </c>
      <c r="P3605" s="4" t="s">
        <v>214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261</v>
      </c>
      <c r="B3606" s="114" t="str">
        <f>VLOOKUP(A3606,'Data pick slip'!B:F,5,FALSE)</f>
        <v>KHJ-MC100-00</v>
      </c>
      <c r="F3606" s="157" t="s">
        <v>227</v>
      </c>
      <c r="I3606" s="269" t="s">
        <v>931</v>
      </c>
      <c r="J3606" s="139" t="s">
        <v>1050</v>
      </c>
      <c r="K3606" s="51" t="s">
        <v>225</v>
      </c>
      <c r="L3606" s="4">
        <v>44819</v>
      </c>
      <c r="M3606" s="140">
        <v>280</v>
      </c>
      <c r="P3606" s="4" t="s">
        <v>214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261</v>
      </c>
      <c r="B3607" s="114" t="str">
        <f>VLOOKUP(A3607,'Data pick slip'!B:F,5,FALSE)</f>
        <v>KHJ-MC100-00</v>
      </c>
      <c r="F3607" s="157" t="s">
        <v>227</v>
      </c>
      <c r="I3607" s="269" t="s">
        <v>931</v>
      </c>
      <c r="J3607" s="139" t="s">
        <v>517</v>
      </c>
      <c r="K3607" s="51" t="s">
        <v>225</v>
      </c>
      <c r="L3607" s="4">
        <v>44825</v>
      </c>
      <c r="M3607" s="140">
        <v>247</v>
      </c>
      <c r="P3607" s="4" t="s">
        <v>214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264</v>
      </c>
      <c r="B3608" s="114" t="str">
        <f>VLOOKUP(A3608,'Data pick slip'!B:F,5,FALSE)</f>
        <v>KHJ-MC200-00</v>
      </c>
      <c r="F3608" s="157" t="s">
        <v>227</v>
      </c>
      <c r="I3608" s="269" t="s">
        <v>931</v>
      </c>
      <c r="J3608" s="139" t="s">
        <v>517</v>
      </c>
      <c r="K3608" s="51" t="s">
        <v>225</v>
      </c>
      <c r="L3608" s="4">
        <v>44825</v>
      </c>
      <c r="M3608" s="140">
        <v>50</v>
      </c>
      <c r="P3608" s="4" t="s">
        <v>214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265</v>
      </c>
      <c r="B3609" s="114" t="str">
        <f>VLOOKUP(A3609,'Data pick slip'!B:F,5,FALSE)</f>
        <v>KHJ-MC400-00</v>
      </c>
      <c r="F3609" s="157" t="s">
        <v>227</v>
      </c>
      <c r="I3609" s="269" t="s">
        <v>931</v>
      </c>
      <c r="J3609" s="139" t="s">
        <v>517</v>
      </c>
      <c r="K3609" s="51" t="s">
        <v>225</v>
      </c>
      <c r="L3609" s="4">
        <v>44825</v>
      </c>
      <c r="M3609" s="140">
        <v>5</v>
      </c>
      <c r="P3609" s="4" t="s">
        <v>214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261</v>
      </c>
      <c r="B3610" s="114" t="str">
        <f>VLOOKUP(A3610,'Data pick slip'!B:F,5,FALSE)</f>
        <v>KHJ-MC100-00</v>
      </c>
      <c r="F3610" s="157" t="s">
        <v>227</v>
      </c>
      <c r="I3610" s="269" t="s">
        <v>931</v>
      </c>
      <c r="J3610" s="139" t="s">
        <v>517</v>
      </c>
      <c r="K3610" s="51" t="s">
        <v>225</v>
      </c>
      <c r="L3610" s="4">
        <v>44825</v>
      </c>
      <c r="M3610" s="140">
        <v>350</v>
      </c>
      <c r="P3610" s="4" t="s">
        <v>214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264</v>
      </c>
      <c r="B3611" s="114" t="str">
        <f>VLOOKUP(A3611,'Data pick slip'!B:F,5,FALSE)</f>
        <v>KHJ-MC200-00</v>
      </c>
      <c r="F3611" s="157" t="s">
        <v>227</v>
      </c>
      <c r="I3611" s="269" t="s">
        <v>931</v>
      </c>
      <c r="J3611" s="139" t="s">
        <v>517</v>
      </c>
      <c r="K3611" s="51" t="s">
        <v>225</v>
      </c>
      <c r="L3611" s="4">
        <v>44825</v>
      </c>
      <c r="M3611" s="140">
        <v>50</v>
      </c>
      <c r="P3611" s="4" t="s">
        <v>214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265</v>
      </c>
      <c r="B3612" s="114" t="str">
        <f>VLOOKUP(A3612,'Data pick slip'!B:F,5,FALSE)</f>
        <v>KHJ-MC400-00</v>
      </c>
      <c r="F3612" s="157" t="s">
        <v>227</v>
      </c>
      <c r="I3612" s="269" t="s">
        <v>931</v>
      </c>
      <c r="J3612" s="139" t="s">
        <v>517</v>
      </c>
      <c r="K3612" s="51" t="s">
        <v>225</v>
      </c>
      <c r="L3612" s="4">
        <v>44825</v>
      </c>
      <c r="M3612" s="140">
        <v>90</v>
      </c>
      <c r="P3612" s="4" t="s">
        <v>214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266</v>
      </c>
      <c r="B3613" s="114" t="str">
        <f>VLOOKUP(A3613,'Data pick slip'!B:F,5,FALSE)</f>
        <v>KHJ-MC500-00</v>
      </c>
      <c r="F3613" s="157" t="s">
        <v>227</v>
      </c>
      <c r="I3613" s="269" t="s">
        <v>931</v>
      </c>
      <c r="J3613" s="139" t="s">
        <v>517</v>
      </c>
      <c r="K3613" s="51" t="s">
        <v>225</v>
      </c>
      <c r="L3613" s="4">
        <v>44825</v>
      </c>
      <c r="M3613" s="140">
        <v>5</v>
      </c>
      <c r="P3613" s="4" t="s">
        <v>214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267</v>
      </c>
      <c r="B3614" s="114" t="str">
        <f>VLOOKUP(A3614,'Data pick slip'!B:F,5,FALSE)</f>
        <v>KHJ-MC600-00</v>
      </c>
      <c r="F3614" s="157" t="s">
        <v>227</v>
      </c>
      <c r="I3614" s="269" t="s">
        <v>931</v>
      </c>
      <c r="J3614" s="139" t="s">
        <v>517</v>
      </c>
      <c r="K3614" s="51" t="s">
        <v>225</v>
      </c>
      <c r="L3614" s="4">
        <v>44825</v>
      </c>
      <c r="M3614" s="140">
        <v>19</v>
      </c>
      <c r="P3614" s="4" t="s">
        <v>214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261</v>
      </c>
      <c r="B3615" s="114" t="str">
        <f>VLOOKUP(A3615,'Data pick slip'!B:F,5,FALSE)</f>
        <v>KHJ-MC100-00</v>
      </c>
      <c r="F3615" s="157" t="s">
        <v>270</v>
      </c>
      <c r="H3615" s="138">
        <v>1728</v>
      </c>
      <c r="I3615" s="139" t="e">
        <f>VLOOKUP(H3615,Stock_list!A:R,18,FALSE)</f>
        <v>#N/A</v>
      </c>
      <c r="J3615" s="139" t="e">
        <f>VLOOKUP(H3615,Stock_list!A:S,17,FALSE)</f>
        <v>#N/A</v>
      </c>
      <c r="K3615" s="51" t="e">
        <f>VLOOKUP(H3615,Stock_list!A:T,16,FALSE)</f>
        <v>#N/A</v>
      </c>
      <c r="L3615" s="4">
        <v>44846</v>
      </c>
      <c r="M3615" s="140">
        <v>2</v>
      </c>
      <c r="P3615" s="4" t="e">
        <f>VLOOKUP(H3615,Stock_list!A:Y,25,FALSE)</f>
        <v>#N/A</v>
      </c>
      <c r="Q3615" s="143"/>
      <c r="T3615" s="144"/>
      <c r="U3615" s="145" t="e">
        <f>VLOOKUP(H3615,Stock_list!A:N,14,FALSE)</f>
        <v>#N/A</v>
      </c>
    </row>
    <row r="3616" spans="1:21" ht="16.5" customHeight="1">
      <c r="A3616" s="159" t="s">
        <v>265</v>
      </c>
      <c r="B3616" s="114" t="str">
        <f>VLOOKUP(A3616,'Data pick slip'!B:F,5,FALSE)</f>
        <v>KHJ-MC400-00</v>
      </c>
      <c r="F3616" s="157" t="s">
        <v>270</v>
      </c>
      <c r="H3616" s="138">
        <v>1728</v>
      </c>
      <c r="I3616" s="139" t="e">
        <f>VLOOKUP(H3616,Stock_list!A:R,18,FALSE)</f>
        <v>#N/A</v>
      </c>
      <c r="J3616" s="139" t="e">
        <f>VLOOKUP(H3616,Stock_list!A:S,17,FALSE)</f>
        <v>#N/A</v>
      </c>
      <c r="K3616" s="51" t="e">
        <f>VLOOKUP(H3616,Stock_list!A:T,16,FALSE)</f>
        <v>#N/A</v>
      </c>
      <c r="L3616" s="4">
        <v>44846</v>
      </c>
      <c r="M3616" s="140">
        <v>1</v>
      </c>
      <c r="P3616" s="4" t="e">
        <f>VLOOKUP(H3616,Stock_list!A:Y,25,FALSE)</f>
        <v>#N/A</v>
      </c>
      <c r="Q3616" s="143"/>
      <c r="T3616" s="144"/>
      <c r="U3616" s="145" t="e">
        <f>VLOOKUP(H3616,Stock_list!A:N,14,FALSE)</f>
        <v>#N/A</v>
      </c>
    </row>
    <row r="3617" spans="1:21" ht="16.5" customHeight="1">
      <c r="A3617" s="159" t="s">
        <v>261</v>
      </c>
      <c r="B3617" s="114" t="str">
        <f>VLOOKUP(A3617,'Data pick slip'!B:F,5,FALSE)</f>
        <v>KHJ-MC100-00</v>
      </c>
      <c r="F3617" s="157" t="s">
        <v>270</v>
      </c>
      <c r="H3617" s="138">
        <v>1733</v>
      </c>
      <c r="I3617" s="139" t="e">
        <f>VLOOKUP(H3617,Stock_list!A:R,18,FALSE)</f>
        <v>#N/A</v>
      </c>
      <c r="J3617" s="139" t="e">
        <f>VLOOKUP(H3617,Stock_list!A:S,17,FALSE)</f>
        <v>#N/A</v>
      </c>
      <c r="K3617" s="51" t="e">
        <f>VLOOKUP(H3617,Stock_list!A:T,16,FALSE)</f>
        <v>#N/A</v>
      </c>
      <c r="L3617" s="4">
        <v>44834</v>
      </c>
      <c r="M3617" s="140">
        <v>123</v>
      </c>
      <c r="P3617" s="4" t="e">
        <f>VLOOKUP(H3617,Stock_list!A:Y,25,FALSE)</f>
        <v>#N/A</v>
      </c>
      <c r="Q3617" s="143"/>
      <c r="T3617" s="144"/>
      <c r="U3617" s="145" t="e">
        <f>VLOOKUP(H3617,Stock_list!A:N,14,FALSE)</f>
        <v>#N/A</v>
      </c>
    </row>
    <row r="3618" spans="1:21" ht="16.5" customHeight="1">
      <c r="A3618" s="159" t="s">
        <v>261</v>
      </c>
      <c r="B3618" s="114" t="str">
        <f>VLOOKUP(A3618,'Data pick slip'!B:F,5,FALSE)</f>
        <v>KHJ-MC100-00</v>
      </c>
      <c r="F3618" s="157" t="s">
        <v>270</v>
      </c>
      <c r="H3618" s="138">
        <v>1739</v>
      </c>
      <c r="I3618" s="139" t="e">
        <f>VLOOKUP(H3618,Stock_list!A:R,18,FALSE)</f>
        <v>#N/A</v>
      </c>
      <c r="J3618" s="139" t="e">
        <f>VLOOKUP(H3618,Stock_list!A:S,17,FALSE)</f>
        <v>#N/A</v>
      </c>
      <c r="K3618" s="51" t="e">
        <f>VLOOKUP(H3618,Stock_list!A:T,16,FALSE)</f>
        <v>#N/A</v>
      </c>
      <c r="L3618" s="141">
        <v>44854</v>
      </c>
      <c r="M3618" s="143">
        <v>30</v>
      </c>
      <c r="P3618" s="4" t="e">
        <f>VLOOKUP(H3618,Stock_list!A:Y,25,FALSE)</f>
        <v>#N/A</v>
      </c>
      <c r="T3618" s="144"/>
      <c r="U3618" s="145" t="e">
        <f>VLOOKUP(H3618,Stock_list!A:N,14,FALSE)</f>
        <v>#N/A</v>
      </c>
    </row>
    <row r="3619" spans="1:21" ht="16.5" customHeight="1">
      <c r="A3619" s="159" t="s">
        <v>264</v>
      </c>
      <c r="B3619" s="114" t="str">
        <f>VLOOKUP(A3619,'Data pick slip'!B:F,5,FALSE)</f>
        <v>KHJ-MC200-00</v>
      </c>
      <c r="F3619" s="157" t="s">
        <v>270</v>
      </c>
      <c r="H3619" s="138">
        <v>1739</v>
      </c>
      <c r="I3619" s="139" t="e">
        <f>VLOOKUP(H3619,Stock_list!A:R,18,FALSE)</f>
        <v>#N/A</v>
      </c>
      <c r="J3619" s="139" t="e">
        <f>VLOOKUP(H3619,Stock_list!A:S,17,FALSE)</f>
        <v>#N/A</v>
      </c>
      <c r="K3619" s="51" t="e">
        <f>VLOOKUP(H3619,Stock_list!A:T,16,FALSE)</f>
        <v>#N/A</v>
      </c>
      <c r="L3619" s="141">
        <v>44854</v>
      </c>
      <c r="M3619" s="143">
        <v>6</v>
      </c>
      <c r="P3619" s="4" t="e">
        <f>VLOOKUP(H3619,Stock_list!A:Y,25,FALSE)</f>
        <v>#N/A</v>
      </c>
      <c r="T3619" s="144"/>
      <c r="U3619" s="145" t="e">
        <f>VLOOKUP(H3619,Stock_list!A:N,14,FALSE)</f>
        <v>#N/A</v>
      </c>
    </row>
    <row r="3620" spans="1:21" ht="16.5" customHeight="1">
      <c r="A3620" s="159" t="s">
        <v>266</v>
      </c>
      <c r="B3620" s="114" t="str">
        <f>VLOOKUP(A3620,'Data pick slip'!B:F,5,FALSE)</f>
        <v>KHJ-MC500-00</v>
      </c>
      <c r="F3620" s="157" t="s">
        <v>270</v>
      </c>
      <c r="H3620" s="138">
        <v>1739</v>
      </c>
      <c r="I3620" s="139" t="e">
        <f>VLOOKUP(H3620,Stock_list!A:R,18,FALSE)</f>
        <v>#N/A</v>
      </c>
      <c r="J3620" s="139" t="e">
        <f>VLOOKUP(H3620,Stock_list!A:S,17,FALSE)</f>
        <v>#N/A</v>
      </c>
      <c r="K3620" s="51" t="e">
        <f>VLOOKUP(H3620,Stock_list!A:T,16,FALSE)</f>
        <v>#N/A</v>
      </c>
      <c r="L3620" s="141">
        <v>44854</v>
      </c>
      <c r="M3620" s="143">
        <v>1</v>
      </c>
      <c r="P3620" s="4" t="e">
        <f>VLOOKUP(H3620,Stock_list!A:Y,25,FALSE)</f>
        <v>#N/A</v>
      </c>
      <c r="T3620" s="144"/>
      <c r="U3620" s="145" t="e">
        <f>VLOOKUP(H3620,Stock_list!A:N,14,FALSE)</f>
        <v>#N/A</v>
      </c>
    </row>
    <row r="3621" spans="1:21" ht="16.5" customHeight="1">
      <c r="A3621" s="159" t="s">
        <v>267</v>
      </c>
      <c r="B3621" s="114" t="str">
        <f>VLOOKUP(A3621,'Data pick slip'!B:F,5,FALSE)</f>
        <v>KHJ-MC600-00</v>
      </c>
      <c r="F3621" s="157" t="s">
        <v>270</v>
      </c>
      <c r="H3621" s="138">
        <v>1739</v>
      </c>
      <c r="I3621" s="139" t="e">
        <f>VLOOKUP(H3621,Stock_list!A:R,18,FALSE)</f>
        <v>#N/A</v>
      </c>
      <c r="J3621" s="139" t="e">
        <f>VLOOKUP(H3621,Stock_list!A:S,17,FALSE)</f>
        <v>#N/A</v>
      </c>
      <c r="K3621" s="51" t="e">
        <f>VLOOKUP(H3621,Stock_list!A:T,16,FALSE)</f>
        <v>#N/A</v>
      </c>
      <c r="L3621" s="141">
        <v>44854</v>
      </c>
      <c r="M3621" s="143">
        <v>1</v>
      </c>
      <c r="P3621" s="4" t="e">
        <f>VLOOKUP(H3621,Stock_list!A:Y,25,FALSE)</f>
        <v>#N/A</v>
      </c>
      <c r="T3621" s="144"/>
      <c r="U3621" s="145" t="e">
        <f>VLOOKUP(H3621,Stock_list!A:N,14,FALSE)</f>
        <v>#N/A</v>
      </c>
    </row>
    <row r="3622" spans="1:21" ht="16.5" customHeight="1">
      <c r="A3622" s="159" t="s">
        <v>261</v>
      </c>
      <c r="B3622" s="114" t="str">
        <f>VLOOKUP(A3622,'Data pick slip'!B:F,5,FALSE)</f>
        <v>KHJ-MC100-00</v>
      </c>
      <c r="F3622" s="157" t="s">
        <v>270</v>
      </c>
      <c r="H3622" s="138">
        <v>1739</v>
      </c>
      <c r="I3622" s="139" t="e">
        <f>VLOOKUP(H3622,Stock_list!A:R,18,FALSE)</f>
        <v>#N/A</v>
      </c>
      <c r="J3622" s="139" t="e">
        <f>VLOOKUP(H3622,Stock_list!A:S,17,FALSE)</f>
        <v>#N/A</v>
      </c>
      <c r="K3622" s="51" t="e">
        <f>VLOOKUP(H3622,Stock_list!A:T,16,FALSE)</f>
        <v>#N/A</v>
      </c>
      <c r="L3622" s="141">
        <v>44848</v>
      </c>
      <c r="M3622" s="140">
        <v>2</v>
      </c>
      <c r="P3622" s="4" t="e">
        <f>VLOOKUP(H3622,Stock_list!A:Y,25,FALSE)</f>
        <v>#N/A</v>
      </c>
      <c r="Q3622" s="143"/>
      <c r="T3622" s="144"/>
      <c r="U3622" s="145" t="e">
        <f>VLOOKUP(H3622,Stock_list!A:N,14,FALSE)</f>
        <v>#N/A</v>
      </c>
    </row>
    <row r="3623" spans="1:21" ht="16.5" customHeight="1">
      <c r="A3623" s="159" t="s">
        <v>261</v>
      </c>
      <c r="B3623" s="114" t="str">
        <f>VLOOKUP(A3623,'Data pick slip'!B:F,5,FALSE)</f>
        <v>KHJ-MC100-00</v>
      </c>
      <c r="F3623" s="157" t="s">
        <v>270</v>
      </c>
      <c r="H3623" s="138">
        <v>1740</v>
      </c>
      <c r="I3623" s="139" t="e">
        <f>VLOOKUP(H3623,Stock_list!A:R,18,FALSE)</f>
        <v>#N/A</v>
      </c>
      <c r="J3623" s="139" t="e">
        <f>VLOOKUP(H3623,Stock_list!A:S,17,FALSE)</f>
        <v>#N/A</v>
      </c>
      <c r="K3623" s="51" t="e">
        <f>VLOOKUP(H3623,Stock_list!A:T,16,FALSE)</f>
        <v>#N/A</v>
      </c>
      <c r="L3623" s="4">
        <v>44853</v>
      </c>
      <c r="M3623" s="143">
        <v>240</v>
      </c>
      <c r="P3623" s="4" t="e">
        <f>VLOOKUP(H3623,Stock_list!A:Y,25,FALSE)</f>
        <v>#N/A</v>
      </c>
      <c r="Q3623" s="143"/>
      <c r="T3623" s="144"/>
      <c r="U3623" s="145" t="e">
        <f>VLOOKUP(H3623,Stock_list!A:N,14,FALSE)</f>
        <v>#N/A</v>
      </c>
    </row>
    <row r="3624" spans="1:21" ht="16.5" customHeight="1">
      <c r="A3624" s="159" t="s">
        <v>264</v>
      </c>
      <c r="B3624" s="114" t="str">
        <f>VLOOKUP(A3624,'Data pick slip'!B:F,5,FALSE)</f>
        <v>KHJ-MC200-00</v>
      </c>
      <c r="F3624" s="157" t="s">
        <v>270</v>
      </c>
      <c r="H3624" s="138">
        <v>1740</v>
      </c>
      <c r="I3624" s="139" t="e">
        <f>VLOOKUP(H3624,Stock_list!A:R,18,FALSE)</f>
        <v>#N/A</v>
      </c>
      <c r="J3624" s="139" t="e">
        <f>VLOOKUP(H3624,Stock_list!A:S,17,FALSE)</f>
        <v>#N/A</v>
      </c>
      <c r="K3624" s="51" t="e">
        <f>VLOOKUP(H3624,Stock_list!A:T,16,FALSE)</f>
        <v>#N/A</v>
      </c>
      <c r="L3624" s="4">
        <v>44853</v>
      </c>
      <c r="M3624" s="143">
        <v>60</v>
      </c>
      <c r="P3624" s="4" t="e">
        <f>VLOOKUP(H3624,Stock_list!A:Y,25,FALSE)</f>
        <v>#N/A</v>
      </c>
      <c r="Q3624" s="143"/>
      <c r="T3624" s="144"/>
      <c r="U3624" s="145" t="e">
        <f>VLOOKUP(H3624,Stock_list!A:N,14,FALSE)</f>
        <v>#N/A</v>
      </c>
    </row>
    <row r="3625" spans="1:21" ht="16.5" customHeight="1">
      <c r="A3625" s="159" t="s">
        <v>265</v>
      </c>
      <c r="B3625" s="114" t="str">
        <f>VLOOKUP(A3625,'Data pick slip'!B:F,5,FALSE)</f>
        <v>KHJ-MC400-00</v>
      </c>
      <c r="F3625" s="157" t="s">
        <v>270</v>
      </c>
      <c r="H3625" s="138">
        <v>1740</v>
      </c>
      <c r="I3625" s="139" t="e">
        <f>VLOOKUP(H3625,Stock_list!A:R,18,FALSE)</f>
        <v>#N/A</v>
      </c>
      <c r="J3625" s="139" t="e">
        <f>VLOOKUP(H3625,Stock_list!A:S,17,FALSE)</f>
        <v>#N/A</v>
      </c>
      <c r="K3625" s="51" t="e">
        <f>VLOOKUP(H3625,Stock_list!A:T,16,FALSE)</f>
        <v>#N/A</v>
      </c>
      <c r="L3625" s="4">
        <v>44853</v>
      </c>
      <c r="M3625" s="143">
        <v>30</v>
      </c>
      <c r="P3625" s="4" t="e">
        <f>VLOOKUP(H3625,Stock_list!A:Y,25,FALSE)</f>
        <v>#N/A</v>
      </c>
      <c r="Q3625" s="143"/>
      <c r="T3625" s="144"/>
      <c r="U3625" s="145" t="e">
        <f>VLOOKUP(H3625,Stock_list!A:N,14,FALSE)</f>
        <v>#N/A</v>
      </c>
    </row>
    <row r="3626" spans="1:21" ht="16.5" customHeight="1">
      <c r="A3626" s="159" t="s">
        <v>266</v>
      </c>
      <c r="B3626" s="114" t="str">
        <f>VLOOKUP(A3626,'Data pick slip'!B:F,5,FALSE)</f>
        <v>KHJ-MC500-00</v>
      </c>
      <c r="F3626" s="157" t="s">
        <v>270</v>
      </c>
      <c r="H3626" s="138">
        <v>1740</v>
      </c>
      <c r="I3626" s="139" t="e">
        <f>VLOOKUP(H3626,Stock_list!A:R,18,FALSE)</f>
        <v>#N/A</v>
      </c>
      <c r="J3626" s="139" t="e">
        <f>VLOOKUP(H3626,Stock_list!A:S,17,FALSE)</f>
        <v>#N/A</v>
      </c>
      <c r="K3626" s="51" t="e">
        <f>VLOOKUP(H3626,Stock_list!A:T,16,FALSE)</f>
        <v>#N/A</v>
      </c>
      <c r="L3626" s="4">
        <v>44853</v>
      </c>
      <c r="M3626" s="143">
        <v>8</v>
      </c>
      <c r="P3626" s="4" t="e">
        <f>VLOOKUP(H3626,Stock_list!A:Y,25,FALSE)</f>
        <v>#N/A</v>
      </c>
      <c r="Q3626" s="143"/>
      <c r="T3626" s="144"/>
      <c r="U3626" s="145" t="e">
        <f>VLOOKUP(H3626,Stock_list!A:N,14,FALSE)</f>
        <v>#N/A</v>
      </c>
    </row>
    <row r="3627" spans="1:21" ht="16.5" customHeight="1">
      <c r="A3627" s="159" t="s">
        <v>267</v>
      </c>
      <c r="B3627" s="114" t="str">
        <f>VLOOKUP(A3627,'Data pick slip'!B:F,5,FALSE)</f>
        <v>KHJ-MC600-00</v>
      </c>
      <c r="F3627" s="157" t="s">
        <v>270</v>
      </c>
      <c r="H3627" s="138">
        <v>1740</v>
      </c>
      <c r="I3627" s="139" t="e">
        <f>VLOOKUP(H3627,Stock_list!A:R,18,FALSE)</f>
        <v>#N/A</v>
      </c>
      <c r="J3627" s="139" t="e">
        <f>VLOOKUP(H3627,Stock_list!A:S,17,FALSE)</f>
        <v>#N/A</v>
      </c>
      <c r="K3627" s="51" t="e">
        <f>VLOOKUP(H3627,Stock_list!A:T,16,FALSE)</f>
        <v>#N/A</v>
      </c>
      <c r="L3627" s="4">
        <v>44853</v>
      </c>
      <c r="M3627" s="143">
        <v>4</v>
      </c>
      <c r="P3627" s="4" t="e">
        <f>VLOOKUP(H3627,Stock_list!A:Y,25,FALSE)</f>
        <v>#N/A</v>
      </c>
      <c r="Q3627" s="143"/>
      <c r="T3627" s="144"/>
      <c r="U3627" s="145" t="e">
        <f>VLOOKUP(H3627,Stock_list!A:N,14,FALSE)</f>
        <v>#N/A</v>
      </c>
    </row>
    <row r="3628" spans="1:21" ht="16.5" customHeight="1">
      <c r="A3628" s="159" t="s">
        <v>261</v>
      </c>
      <c r="B3628" s="114" t="str">
        <f>VLOOKUP(A3628,'Data pick slip'!B:F,5,FALSE)</f>
        <v>KHJ-MC100-00</v>
      </c>
      <c r="F3628" s="157" t="s">
        <v>227</v>
      </c>
      <c r="H3628" s="138">
        <v>1747</v>
      </c>
      <c r="I3628" s="139" t="e">
        <f>VLOOKUP(H3628,Stock_list!A:R,18,FALSE)</f>
        <v>#N/A</v>
      </c>
      <c r="J3628" s="139" t="e">
        <f>VLOOKUP(H3628,Stock_list!A:S,17,FALSE)</f>
        <v>#N/A</v>
      </c>
      <c r="K3628" s="51" t="e">
        <f>VLOOKUP(H3628,Stock_list!A:T,16,FALSE)</f>
        <v>#N/A</v>
      </c>
      <c r="L3628" s="4">
        <v>44865</v>
      </c>
      <c r="M3628" s="143">
        <v>112</v>
      </c>
      <c r="P3628" s="4" t="e">
        <f>VLOOKUP(H3628,Stock_list!A:Y,25,FALSE)</f>
        <v>#N/A</v>
      </c>
      <c r="T3628" s="144"/>
      <c r="U3628" s="145" t="e">
        <f>VLOOKUP(H3628,Stock_list!A:N,14,FALSE)</f>
        <v>#N/A</v>
      </c>
    </row>
    <row r="3629" spans="1:21" ht="16.5" customHeight="1">
      <c r="A3629" s="159" t="s">
        <v>264</v>
      </c>
      <c r="B3629" s="114" t="str">
        <f>VLOOKUP(A3629,'Data pick slip'!B:F,5,FALSE)</f>
        <v>KHJ-MC200-00</v>
      </c>
      <c r="F3629" s="157" t="s">
        <v>227</v>
      </c>
      <c r="H3629" s="138">
        <v>1747</v>
      </c>
      <c r="I3629" s="139" t="e">
        <f>VLOOKUP(H3629,Stock_list!A:R,18,FALSE)</f>
        <v>#N/A</v>
      </c>
      <c r="J3629" s="139" t="e">
        <f>VLOOKUP(H3629,Stock_list!A:S,17,FALSE)</f>
        <v>#N/A</v>
      </c>
      <c r="K3629" s="51" t="e">
        <f>VLOOKUP(H3629,Stock_list!A:T,16,FALSE)</f>
        <v>#N/A</v>
      </c>
      <c r="L3629" s="4">
        <v>44865</v>
      </c>
      <c r="M3629" s="143">
        <v>35</v>
      </c>
      <c r="P3629" s="4" t="e">
        <f>VLOOKUP(H3629,Stock_list!A:Y,25,FALSE)</f>
        <v>#N/A</v>
      </c>
      <c r="T3629" s="144"/>
      <c r="U3629" s="145" t="e">
        <f>VLOOKUP(H3629,Stock_list!A:N,14,FALSE)</f>
        <v>#N/A</v>
      </c>
    </row>
    <row r="3630" spans="1:21" ht="16.5" customHeight="1">
      <c r="A3630" s="159" t="s">
        <v>265</v>
      </c>
      <c r="B3630" s="114" t="str">
        <f>VLOOKUP(A3630,'Data pick slip'!B:F,5,FALSE)</f>
        <v>KHJ-MC400-00</v>
      </c>
      <c r="F3630" s="157" t="s">
        <v>227</v>
      </c>
      <c r="H3630" s="138">
        <v>1747</v>
      </c>
      <c r="I3630" s="139" t="e">
        <f>VLOOKUP(H3630,Stock_list!A:R,18,FALSE)</f>
        <v>#N/A</v>
      </c>
      <c r="J3630" s="139" t="e">
        <f>VLOOKUP(H3630,Stock_list!A:S,17,FALSE)</f>
        <v>#N/A</v>
      </c>
      <c r="K3630" s="51" t="e">
        <f>VLOOKUP(H3630,Stock_list!A:T,16,FALSE)</f>
        <v>#N/A</v>
      </c>
      <c r="L3630" s="4">
        <v>44865</v>
      </c>
      <c r="M3630" s="143">
        <v>12</v>
      </c>
      <c r="P3630" s="4" t="e">
        <f>VLOOKUP(H3630,Stock_list!A:Y,25,FALSE)</f>
        <v>#N/A</v>
      </c>
      <c r="T3630" s="144"/>
      <c r="U3630" s="145" t="e">
        <f>VLOOKUP(H3630,Stock_list!A:N,14,FALSE)</f>
        <v>#N/A</v>
      </c>
    </row>
    <row r="3631" spans="1:21" ht="16.5" customHeight="1">
      <c r="A3631" s="159" t="s">
        <v>266</v>
      </c>
      <c r="B3631" s="114" t="str">
        <f>VLOOKUP(A3631,'Data pick slip'!B:F,5,FALSE)</f>
        <v>KHJ-MC500-00</v>
      </c>
      <c r="F3631" s="157" t="s">
        <v>227</v>
      </c>
      <c r="H3631" s="138">
        <v>1747</v>
      </c>
      <c r="I3631" s="139" t="e">
        <f>VLOOKUP(H3631,Stock_list!A:R,18,FALSE)</f>
        <v>#N/A</v>
      </c>
      <c r="J3631" s="139" t="e">
        <f>VLOOKUP(H3631,Stock_list!A:S,17,FALSE)</f>
        <v>#N/A</v>
      </c>
      <c r="K3631" s="51" t="e">
        <f>VLOOKUP(H3631,Stock_list!A:T,16,FALSE)</f>
        <v>#N/A</v>
      </c>
      <c r="L3631" s="4">
        <v>44865</v>
      </c>
      <c r="M3631" s="143">
        <v>2</v>
      </c>
      <c r="P3631" s="4" t="e">
        <f>VLOOKUP(H3631,Stock_list!A:Y,25,FALSE)</f>
        <v>#N/A</v>
      </c>
      <c r="T3631" s="144"/>
      <c r="U3631" s="145" t="e">
        <f>VLOOKUP(H3631,Stock_list!A:N,14,FALSE)</f>
        <v>#N/A</v>
      </c>
    </row>
    <row r="3632" spans="1:21" ht="16.5" customHeight="1">
      <c r="A3632" s="159" t="s">
        <v>267</v>
      </c>
      <c r="B3632" s="114" t="str">
        <f>VLOOKUP(A3632,'Data pick slip'!B:F,5,FALSE)</f>
        <v>KHJ-MC600-00</v>
      </c>
      <c r="F3632" s="157" t="s">
        <v>227</v>
      </c>
      <c r="H3632" s="138">
        <v>1747</v>
      </c>
      <c r="I3632" s="139" t="e">
        <f>VLOOKUP(H3632,Stock_list!A:R,18,FALSE)</f>
        <v>#N/A</v>
      </c>
      <c r="J3632" s="139" t="e">
        <f>VLOOKUP(H3632,Stock_list!A:S,17,FALSE)</f>
        <v>#N/A</v>
      </c>
      <c r="K3632" s="51" t="e">
        <f>VLOOKUP(H3632,Stock_list!A:T,16,FALSE)</f>
        <v>#N/A</v>
      </c>
      <c r="L3632" s="4">
        <v>44865</v>
      </c>
      <c r="M3632" s="143">
        <v>6</v>
      </c>
      <c r="P3632" s="4" t="e">
        <f>VLOOKUP(H3632,Stock_list!A:Y,25,FALSE)</f>
        <v>#N/A</v>
      </c>
      <c r="T3632" s="144"/>
      <c r="U3632" s="145" t="e">
        <f>VLOOKUP(H3632,Stock_list!A:N,14,FALSE)</f>
        <v>#N/A</v>
      </c>
    </row>
    <row r="3633" spans="1:21" ht="16.5" customHeight="1">
      <c r="A3633" s="159" t="s">
        <v>268</v>
      </c>
      <c r="B3633" s="114" t="str">
        <f>VLOOKUP(A3633,'Data pick slip'!B:F,5,FALSE)</f>
        <v>KHJ-MC700-00</v>
      </c>
      <c r="F3633" s="157" t="s">
        <v>227</v>
      </c>
      <c r="H3633" s="138">
        <v>1747</v>
      </c>
      <c r="I3633" s="139" t="e">
        <f>VLOOKUP(H3633,Stock_list!A:R,18,FALSE)</f>
        <v>#N/A</v>
      </c>
      <c r="J3633" s="139" t="e">
        <f>VLOOKUP(H3633,Stock_list!A:S,17,FALSE)</f>
        <v>#N/A</v>
      </c>
      <c r="K3633" s="51" t="e">
        <f>VLOOKUP(H3633,Stock_list!A:T,16,FALSE)</f>
        <v>#N/A</v>
      </c>
      <c r="L3633" s="4">
        <v>44865</v>
      </c>
      <c r="M3633" s="143">
        <v>2</v>
      </c>
      <c r="P3633" s="4" t="e">
        <f>VLOOKUP(H3633,Stock_list!A:Y,25,FALSE)</f>
        <v>#N/A</v>
      </c>
      <c r="T3633" s="144"/>
      <c r="U3633" s="145" t="e">
        <f>VLOOKUP(H3633,Stock_list!A:N,14,FALSE)</f>
        <v>#N/A</v>
      </c>
    </row>
    <row r="3634" spans="1:21" ht="16.5" customHeight="1">
      <c r="A3634" s="159" t="s">
        <v>261</v>
      </c>
      <c r="B3634" s="114" t="str">
        <f>VLOOKUP(A3634,'Data pick slip'!B:F,5,FALSE)</f>
        <v>KHJ-MC100-00</v>
      </c>
      <c r="F3634" s="157" t="s">
        <v>270</v>
      </c>
      <c r="H3634" s="138">
        <v>1750</v>
      </c>
      <c r="I3634" s="139" t="e">
        <f>VLOOKUP(H3634,Stock_list!A:R,18,FALSE)</f>
        <v>#N/A</v>
      </c>
      <c r="J3634" s="139" t="e">
        <f>VLOOKUP(H3634,Stock_list!A:S,17,FALSE)</f>
        <v>#N/A</v>
      </c>
      <c r="K3634" s="51" t="e">
        <f>VLOOKUP(H3634,Stock_list!A:T,16,FALSE)</f>
        <v>#N/A</v>
      </c>
      <c r="L3634" s="4">
        <v>44868</v>
      </c>
      <c r="M3634" s="140">
        <v>60</v>
      </c>
      <c r="P3634" s="4" t="e">
        <f>VLOOKUP(H3634,Stock_list!A:Y,25,FALSE)</f>
        <v>#N/A</v>
      </c>
      <c r="Q3634" s="143"/>
      <c r="T3634" s="144"/>
      <c r="U3634" s="145" t="e">
        <f>VLOOKUP(H3634,Stock_list!A:N,14,FALSE)</f>
        <v>#N/A</v>
      </c>
    </row>
    <row r="3635" spans="1:21" ht="16.5" customHeight="1">
      <c r="A3635" s="159" t="s">
        <v>261</v>
      </c>
      <c r="B3635" s="114" t="str">
        <f>VLOOKUP(A3635,'Data pick slip'!B:F,5,FALSE)</f>
        <v>KHJ-MC100-00</v>
      </c>
      <c r="F3635" s="157" t="s">
        <v>270</v>
      </c>
      <c r="H3635" s="138">
        <v>1751</v>
      </c>
      <c r="I3635" s="139" t="e">
        <f>VLOOKUP(H3635,Stock_list!A:R,18,FALSE)</f>
        <v>#N/A</v>
      </c>
      <c r="J3635" s="139" t="e">
        <f>VLOOKUP(H3635,Stock_list!A:S,17,FALSE)</f>
        <v>#N/A</v>
      </c>
      <c r="K3635" s="51" t="e">
        <f>VLOOKUP(H3635,Stock_list!A:T,16,FALSE)</f>
        <v>#N/A</v>
      </c>
      <c r="L3635" s="4">
        <v>44880</v>
      </c>
      <c r="M3635" s="143">
        <v>300</v>
      </c>
      <c r="P3635" s="4" t="e">
        <f>VLOOKUP(H3635,Stock_list!A:Y,25,FALSE)</f>
        <v>#N/A</v>
      </c>
      <c r="T3635" s="144"/>
      <c r="U3635" s="145" t="e">
        <f>VLOOKUP(H3635,Stock_list!A:N,14,FALSE)</f>
        <v>#N/A</v>
      </c>
    </row>
    <row r="3636" spans="1:21" ht="16.5" customHeight="1">
      <c r="A3636" s="159" t="s">
        <v>264</v>
      </c>
      <c r="B3636" s="114" t="str">
        <f>VLOOKUP(A3636,'Data pick slip'!B:F,5,FALSE)</f>
        <v>KHJ-MC200-00</v>
      </c>
      <c r="F3636" s="157" t="s">
        <v>270</v>
      </c>
      <c r="H3636" s="138">
        <v>1751</v>
      </c>
      <c r="I3636" s="139" t="e">
        <f>VLOOKUP(H3636,Stock_list!A:R,18,FALSE)</f>
        <v>#N/A</v>
      </c>
      <c r="J3636" s="139" t="e">
        <f>VLOOKUP(H3636,Stock_list!A:S,17,FALSE)</f>
        <v>#N/A</v>
      </c>
      <c r="K3636" s="51" t="e">
        <f>VLOOKUP(H3636,Stock_list!A:T,16,FALSE)</f>
        <v>#N/A</v>
      </c>
      <c r="L3636" s="4">
        <v>44880</v>
      </c>
      <c r="M3636" s="143">
        <v>40</v>
      </c>
      <c r="P3636" s="4" t="e">
        <f>VLOOKUP(H3636,Stock_list!A:Y,25,FALSE)</f>
        <v>#N/A</v>
      </c>
      <c r="T3636" s="144"/>
      <c r="U3636" s="145" t="e">
        <f>VLOOKUP(H3636,Stock_list!A:N,14,FALSE)</f>
        <v>#N/A</v>
      </c>
    </row>
    <row r="3637" spans="1:21" ht="16.5" customHeight="1">
      <c r="A3637" s="159" t="s">
        <v>265</v>
      </c>
      <c r="B3637" s="114" t="str">
        <f>VLOOKUP(A3637,'Data pick slip'!B:F,5,FALSE)</f>
        <v>KHJ-MC400-00</v>
      </c>
      <c r="F3637" s="157" t="s">
        <v>270</v>
      </c>
      <c r="H3637" s="138">
        <v>1751</v>
      </c>
      <c r="I3637" s="139" t="e">
        <f>VLOOKUP(H3637,Stock_list!A:R,18,FALSE)</f>
        <v>#N/A</v>
      </c>
      <c r="J3637" s="139" t="e">
        <f>VLOOKUP(H3637,Stock_list!A:S,17,FALSE)</f>
        <v>#N/A</v>
      </c>
      <c r="K3637" s="51" t="e">
        <f>VLOOKUP(H3637,Stock_list!A:T,16,FALSE)</f>
        <v>#N/A</v>
      </c>
      <c r="L3637" s="4">
        <v>44880</v>
      </c>
      <c r="M3637" s="143">
        <v>12</v>
      </c>
      <c r="P3637" s="4" t="e">
        <f>VLOOKUP(H3637,Stock_list!A:Y,25,FALSE)</f>
        <v>#N/A</v>
      </c>
      <c r="T3637" s="144"/>
      <c r="U3637" s="145" t="e">
        <f>VLOOKUP(H3637,Stock_list!A:N,14,FALSE)</f>
        <v>#N/A</v>
      </c>
    </row>
    <row r="3638" spans="1:21" ht="16.5" customHeight="1">
      <c r="A3638" s="159" t="s">
        <v>266</v>
      </c>
      <c r="B3638" s="114" t="str">
        <f>VLOOKUP(A3638,'Data pick slip'!B:F,5,FALSE)</f>
        <v>KHJ-MC500-00</v>
      </c>
      <c r="F3638" s="157" t="s">
        <v>270</v>
      </c>
      <c r="H3638" s="138">
        <v>1751</v>
      </c>
      <c r="I3638" s="139" t="e">
        <f>VLOOKUP(H3638,Stock_list!A:R,18,FALSE)</f>
        <v>#N/A</v>
      </c>
      <c r="J3638" s="139" t="e">
        <f>VLOOKUP(H3638,Stock_list!A:S,17,FALSE)</f>
        <v>#N/A</v>
      </c>
      <c r="K3638" s="51" t="e">
        <f>VLOOKUP(H3638,Stock_list!A:T,16,FALSE)</f>
        <v>#N/A</v>
      </c>
      <c r="L3638" s="4">
        <v>44880</v>
      </c>
      <c r="M3638" s="143">
        <v>2</v>
      </c>
      <c r="P3638" s="4" t="e">
        <f>VLOOKUP(H3638,Stock_list!A:Y,25,FALSE)</f>
        <v>#N/A</v>
      </c>
      <c r="T3638" s="144"/>
      <c r="U3638" s="145" t="e">
        <f>VLOOKUP(H3638,Stock_list!A:N,14,FALSE)</f>
        <v>#N/A</v>
      </c>
    </row>
    <row r="3639" spans="1:21" ht="16.5" customHeight="1">
      <c r="A3639" s="159" t="s">
        <v>267</v>
      </c>
      <c r="B3639" s="114" t="str">
        <f>VLOOKUP(A3639,'Data pick slip'!B:F,5,FALSE)</f>
        <v>KHJ-MC600-00</v>
      </c>
      <c r="F3639" s="157" t="s">
        <v>270</v>
      </c>
      <c r="H3639" s="138">
        <v>1751</v>
      </c>
      <c r="I3639" s="139" t="e">
        <f>VLOOKUP(H3639,Stock_list!A:R,18,FALSE)</f>
        <v>#N/A</v>
      </c>
      <c r="J3639" s="139" t="e">
        <f>VLOOKUP(H3639,Stock_list!A:S,17,FALSE)</f>
        <v>#N/A</v>
      </c>
      <c r="K3639" s="51" t="e">
        <f>VLOOKUP(H3639,Stock_list!A:T,16,FALSE)</f>
        <v>#N/A</v>
      </c>
      <c r="L3639" s="4">
        <v>44880</v>
      </c>
      <c r="M3639" s="143">
        <v>2</v>
      </c>
      <c r="P3639" s="4" t="e">
        <f>VLOOKUP(H3639,Stock_list!A:Y,25,FALSE)</f>
        <v>#N/A</v>
      </c>
      <c r="T3639" s="144"/>
      <c r="U3639" s="145" t="e">
        <f>VLOOKUP(H3639,Stock_list!A:N,14,FALSE)</f>
        <v>#N/A</v>
      </c>
    </row>
    <row r="3640" spans="1:21" ht="16.5" customHeight="1">
      <c r="A3640" s="159" t="s">
        <v>268</v>
      </c>
      <c r="B3640" s="114" t="str">
        <f>VLOOKUP(A3640,'Data pick slip'!B:F,5,FALSE)</f>
        <v>KHJ-MC700-00</v>
      </c>
      <c r="F3640" s="157" t="s">
        <v>270</v>
      </c>
      <c r="H3640" s="138">
        <v>1751</v>
      </c>
      <c r="I3640" s="139" t="e">
        <f>VLOOKUP(H3640,Stock_list!A:R,18,FALSE)</f>
        <v>#N/A</v>
      </c>
      <c r="J3640" s="139" t="e">
        <f>VLOOKUP(H3640,Stock_list!A:S,17,FALSE)</f>
        <v>#N/A</v>
      </c>
      <c r="K3640" s="51" t="e">
        <f>VLOOKUP(H3640,Stock_list!A:T,16,FALSE)</f>
        <v>#N/A</v>
      </c>
      <c r="L3640" s="4">
        <v>44880</v>
      </c>
      <c r="M3640" s="143">
        <v>1</v>
      </c>
      <c r="P3640" s="4" t="e">
        <f>VLOOKUP(H3640,Stock_list!A:Y,25,FALSE)</f>
        <v>#N/A</v>
      </c>
      <c r="T3640" s="144"/>
      <c r="U3640" s="145" t="e">
        <f>VLOOKUP(H3640,Stock_list!A:N,14,FALSE)</f>
        <v>#N/A</v>
      </c>
    </row>
    <row r="3641" spans="1:21" ht="16.5" customHeight="1">
      <c r="A3641" s="159" t="s">
        <v>261</v>
      </c>
      <c r="B3641" s="114" t="str">
        <f>VLOOKUP(A3641,'Data pick slip'!B:F,5,FALSE)</f>
        <v>KHJ-MC100-00</v>
      </c>
      <c r="F3641" s="157" t="s">
        <v>270</v>
      </c>
      <c r="H3641" s="138">
        <v>1753</v>
      </c>
      <c r="I3641" s="139" t="e">
        <f>VLOOKUP(H3641,Stock_list!A:R,18,FALSE)</f>
        <v>#N/A</v>
      </c>
      <c r="J3641" s="139" t="e">
        <f>VLOOKUP(H3641,Stock_list!A:S,17,FALSE)</f>
        <v>#N/A</v>
      </c>
      <c r="K3641" s="51" t="e">
        <f>VLOOKUP(H3641,Stock_list!A:T,16,FALSE)</f>
        <v>#N/A</v>
      </c>
      <c r="L3641" s="4">
        <v>44887</v>
      </c>
      <c r="M3641" s="140">
        <v>10</v>
      </c>
      <c r="P3641" s="4" t="e">
        <f>VLOOKUP(H3641,Stock_list!A:Y,25,FALSE)</f>
        <v>#N/A</v>
      </c>
      <c r="Q3641" s="143"/>
      <c r="T3641" s="144"/>
      <c r="U3641" s="145" t="e">
        <f>VLOOKUP(H3641,Stock_list!A:N,14,FALSE)</f>
        <v>#N/A</v>
      </c>
    </row>
    <row r="3642" spans="1:21" ht="16.5" customHeight="1">
      <c r="A3642" s="159" t="s">
        <v>261</v>
      </c>
      <c r="B3642" s="114" t="str">
        <f>VLOOKUP(A3642,'Data pick slip'!B:F,5,FALSE)</f>
        <v>KHJ-MC100-00</v>
      </c>
      <c r="F3642" s="157" t="s">
        <v>270</v>
      </c>
      <c r="H3642" s="138">
        <v>1754</v>
      </c>
      <c r="I3642" s="139" t="e">
        <f>VLOOKUP(H3642,Stock_list!A:R,18,FALSE)</f>
        <v>#N/A</v>
      </c>
      <c r="J3642" s="139" t="e">
        <f>VLOOKUP(H3642,Stock_list!A:S,17,FALSE)</f>
        <v>#N/A</v>
      </c>
      <c r="K3642" s="51" t="e">
        <f>VLOOKUP(H3642,Stock_list!A:T,16,FALSE)</f>
        <v>#N/A</v>
      </c>
      <c r="L3642" s="4">
        <v>44894</v>
      </c>
      <c r="M3642" s="143">
        <v>80</v>
      </c>
      <c r="P3642" s="4" t="e">
        <f>VLOOKUP(H3642,Stock_list!A:Y,25,FALSE)</f>
        <v>#N/A</v>
      </c>
      <c r="T3642" s="144"/>
      <c r="U3642" s="145" t="e">
        <f>VLOOKUP(H3642,Stock_list!A:N,14,FALSE)</f>
        <v>#N/A</v>
      </c>
    </row>
    <row r="3643" spans="1:21" ht="16.5" customHeight="1">
      <c r="A3643" s="159" t="s">
        <v>264</v>
      </c>
      <c r="B3643" s="114" t="str">
        <f>VLOOKUP(A3643,'Data pick slip'!B:F,5,FALSE)</f>
        <v>KHJ-MC200-00</v>
      </c>
      <c r="F3643" s="157" t="s">
        <v>270</v>
      </c>
      <c r="H3643" s="138">
        <v>1754</v>
      </c>
      <c r="I3643" s="139" t="e">
        <f>VLOOKUP(H3643,Stock_list!A:R,18,FALSE)</f>
        <v>#N/A</v>
      </c>
      <c r="J3643" s="139" t="e">
        <f>VLOOKUP(H3643,Stock_list!A:S,17,FALSE)</f>
        <v>#N/A</v>
      </c>
      <c r="K3643" s="51" t="e">
        <f>VLOOKUP(H3643,Stock_list!A:T,16,FALSE)</f>
        <v>#N/A</v>
      </c>
      <c r="L3643" s="4">
        <v>44894</v>
      </c>
      <c r="M3643" s="143">
        <v>8</v>
      </c>
      <c r="P3643" s="4" t="e">
        <f>VLOOKUP(H3643,Stock_list!A:Y,25,FALSE)</f>
        <v>#N/A</v>
      </c>
      <c r="T3643" s="144"/>
      <c r="U3643" s="145" t="e">
        <f>VLOOKUP(H3643,Stock_list!A:N,14,FALSE)</f>
        <v>#N/A</v>
      </c>
    </row>
    <row r="3644" spans="1:21" ht="16.5" customHeight="1">
      <c r="A3644" s="159" t="s">
        <v>266</v>
      </c>
      <c r="B3644" s="114" t="str">
        <f>VLOOKUP(A3644,'Data pick slip'!B:F,5,FALSE)</f>
        <v>KHJ-MC500-00</v>
      </c>
      <c r="F3644" s="157" t="s">
        <v>270</v>
      </c>
      <c r="H3644" s="138">
        <v>1754</v>
      </c>
      <c r="I3644" s="139" t="e">
        <f>VLOOKUP(H3644,Stock_list!A:R,18,FALSE)</f>
        <v>#N/A</v>
      </c>
      <c r="J3644" s="139" t="e">
        <f>VLOOKUP(H3644,Stock_list!A:S,17,FALSE)</f>
        <v>#N/A</v>
      </c>
      <c r="K3644" s="51" t="e">
        <f>VLOOKUP(H3644,Stock_list!A:T,16,FALSE)</f>
        <v>#N/A</v>
      </c>
      <c r="L3644" s="4">
        <v>44894</v>
      </c>
      <c r="M3644" s="143">
        <v>1</v>
      </c>
      <c r="P3644" s="4" t="e">
        <f>VLOOKUP(H3644,Stock_list!A:Y,25,FALSE)</f>
        <v>#N/A</v>
      </c>
      <c r="T3644" s="144"/>
      <c r="U3644" s="145" t="e">
        <f>VLOOKUP(H3644,Stock_list!A:N,14,FALSE)</f>
        <v>#N/A</v>
      </c>
    </row>
    <row r="3645" spans="1:21" ht="16.5" customHeight="1">
      <c r="A3645" s="159" t="s">
        <v>267</v>
      </c>
      <c r="B3645" s="114" t="str">
        <f>VLOOKUP(A3645,'Data pick slip'!B:F,5,FALSE)</f>
        <v>KHJ-MC600-00</v>
      </c>
      <c r="F3645" s="157" t="s">
        <v>270</v>
      </c>
      <c r="H3645" s="138">
        <v>1754</v>
      </c>
      <c r="I3645" s="139" t="e">
        <f>VLOOKUP(H3645,Stock_list!A:R,18,FALSE)</f>
        <v>#N/A</v>
      </c>
      <c r="J3645" s="139" t="e">
        <f>VLOOKUP(H3645,Stock_list!A:S,17,FALSE)</f>
        <v>#N/A</v>
      </c>
      <c r="K3645" s="51" t="e">
        <f>VLOOKUP(H3645,Stock_list!A:T,16,FALSE)</f>
        <v>#N/A</v>
      </c>
      <c r="L3645" s="4">
        <v>44894</v>
      </c>
      <c r="M3645" s="143">
        <v>1</v>
      </c>
      <c r="P3645" s="4" t="e">
        <f>VLOOKUP(H3645,Stock_list!A:Y,25,FALSE)</f>
        <v>#N/A</v>
      </c>
      <c r="T3645" s="144"/>
      <c r="U3645" s="145" t="e">
        <f>VLOOKUP(H3645,Stock_list!A:N,14,FALSE)</f>
        <v>#N/A</v>
      </c>
    </row>
    <row r="3646" spans="1:21" ht="16.5" customHeight="1">
      <c r="A3646" s="159" t="s">
        <v>268</v>
      </c>
      <c r="B3646" s="114" t="str">
        <f>VLOOKUP(A3646,'Data pick slip'!B:F,5,FALSE)</f>
        <v>KHJ-MC700-00</v>
      </c>
      <c r="F3646" s="157" t="s">
        <v>270</v>
      </c>
      <c r="H3646" s="138">
        <v>1754</v>
      </c>
      <c r="I3646" s="139" t="e">
        <f>VLOOKUP(H3646,Stock_list!A:R,18,FALSE)</f>
        <v>#N/A</v>
      </c>
      <c r="J3646" s="139" t="e">
        <f>VLOOKUP(H3646,Stock_list!A:S,17,FALSE)</f>
        <v>#N/A</v>
      </c>
      <c r="K3646" s="51" t="e">
        <f>VLOOKUP(H3646,Stock_list!A:T,16,FALSE)</f>
        <v>#N/A</v>
      </c>
      <c r="L3646" s="4">
        <v>44894</v>
      </c>
      <c r="M3646" s="143">
        <v>1</v>
      </c>
      <c r="P3646" s="4" t="e">
        <f>VLOOKUP(H3646,Stock_list!A:Y,25,FALSE)</f>
        <v>#N/A</v>
      </c>
      <c r="T3646" s="144"/>
      <c r="U3646" s="145" t="e">
        <f>VLOOKUP(H3646,Stock_list!A:N,14,FALSE)</f>
        <v>#N/A</v>
      </c>
    </row>
    <row r="3647" spans="1:21" ht="16.5" customHeight="1">
      <c r="A3647" s="159" t="s">
        <v>261</v>
      </c>
      <c r="B3647" s="114" t="str">
        <f>VLOOKUP(A3647,'Data pick slip'!B:F,5,FALSE)</f>
        <v>KHJ-MC100-00</v>
      </c>
      <c r="F3647" s="157" t="s">
        <v>270</v>
      </c>
      <c r="H3647" s="138">
        <v>1755</v>
      </c>
      <c r="I3647" s="139" t="e">
        <f>VLOOKUP(H3647,Stock_list!A:R,18,FALSE)</f>
        <v>#N/A</v>
      </c>
      <c r="J3647" s="139" t="e">
        <f>VLOOKUP(H3647,Stock_list!A:S,17,FALSE)</f>
        <v>#N/A</v>
      </c>
      <c r="K3647" s="51" t="e">
        <f>VLOOKUP(H3647,Stock_list!A:T,16,FALSE)</f>
        <v>#N/A</v>
      </c>
      <c r="L3647" s="4">
        <v>44890</v>
      </c>
      <c r="M3647" s="143">
        <v>480</v>
      </c>
      <c r="P3647" s="4" t="e">
        <f>VLOOKUP(H3647,Stock_list!A:Y,25,FALSE)</f>
        <v>#N/A</v>
      </c>
      <c r="T3647" s="144"/>
      <c r="U3647" s="145" t="e">
        <f>VLOOKUP(H3647,Stock_list!A:N,14,FALSE)</f>
        <v>#N/A</v>
      </c>
    </row>
    <row r="3648" spans="1:21" ht="16.5" customHeight="1">
      <c r="A3648" s="159" t="s">
        <v>264</v>
      </c>
      <c r="B3648" s="114" t="str">
        <f>VLOOKUP(A3648,'Data pick slip'!B:F,5,FALSE)</f>
        <v>KHJ-MC200-00</v>
      </c>
      <c r="F3648" s="157" t="s">
        <v>270</v>
      </c>
      <c r="H3648" s="138">
        <v>1755</v>
      </c>
      <c r="I3648" s="139" t="e">
        <f>VLOOKUP(H3648,Stock_list!A:R,18,FALSE)</f>
        <v>#N/A</v>
      </c>
      <c r="J3648" s="139" t="e">
        <f>VLOOKUP(H3648,Stock_list!A:S,17,FALSE)</f>
        <v>#N/A</v>
      </c>
      <c r="K3648" s="51" t="e">
        <f>VLOOKUP(H3648,Stock_list!A:T,16,FALSE)</f>
        <v>#N/A</v>
      </c>
      <c r="L3648" s="4">
        <v>44890</v>
      </c>
      <c r="M3648" s="143">
        <v>120</v>
      </c>
      <c r="P3648" s="4" t="e">
        <f>VLOOKUP(H3648,Stock_list!A:Y,25,FALSE)</f>
        <v>#N/A</v>
      </c>
      <c r="T3648" s="144"/>
      <c r="U3648" s="145" t="e">
        <f>VLOOKUP(H3648,Stock_list!A:N,14,FALSE)</f>
        <v>#N/A</v>
      </c>
    </row>
    <row r="3649" spans="1:21" ht="16.5" customHeight="1">
      <c r="A3649" s="159" t="s">
        <v>265</v>
      </c>
      <c r="B3649" s="114" t="str">
        <f>VLOOKUP(A3649,'Data pick slip'!B:F,5,FALSE)</f>
        <v>KHJ-MC400-00</v>
      </c>
      <c r="F3649" s="157" t="s">
        <v>270</v>
      </c>
      <c r="H3649" s="138">
        <v>1755</v>
      </c>
      <c r="I3649" s="139" t="e">
        <f>VLOOKUP(H3649,Stock_list!A:R,18,FALSE)</f>
        <v>#N/A</v>
      </c>
      <c r="J3649" s="139" t="e">
        <f>VLOOKUP(H3649,Stock_list!A:S,17,FALSE)</f>
        <v>#N/A</v>
      </c>
      <c r="K3649" s="51" t="e">
        <f>VLOOKUP(H3649,Stock_list!A:T,16,FALSE)</f>
        <v>#N/A</v>
      </c>
      <c r="L3649" s="4">
        <v>44890</v>
      </c>
      <c r="M3649" s="143">
        <v>60</v>
      </c>
      <c r="P3649" s="4" t="e">
        <f>VLOOKUP(H3649,Stock_list!A:Y,25,FALSE)</f>
        <v>#N/A</v>
      </c>
      <c r="T3649" s="144"/>
      <c r="U3649" s="145" t="e">
        <f>VLOOKUP(H3649,Stock_list!A:N,14,FALSE)</f>
        <v>#N/A</v>
      </c>
    </row>
    <row r="3650" spans="1:21" ht="16.5" customHeight="1">
      <c r="A3650" s="159" t="s">
        <v>266</v>
      </c>
      <c r="B3650" s="114" t="str">
        <f>VLOOKUP(A3650,'Data pick slip'!B:F,5,FALSE)</f>
        <v>KHJ-MC500-00</v>
      </c>
      <c r="F3650" s="157" t="s">
        <v>270</v>
      </c>
      <c r="H3650" s="138">
        <v>1755</v>
      </c>
      <c r="I3650" s="139" t="e">
        <f>VLOOKUP(H3650,Stock_list!A:R,18,FALSE)</f>
        <v>#N/A</v>
      </c>
      <c r="J3650" s="139" t="e">
        <f>VLOOKUP(H3650,Stock_list!A:S,17,FALSE)</f>
        <v>#N/A</v>
      </c>
      <c r="K3650" s="51" t="e">
        <f>VLOOKUP(H3650,Stock_list!A:T,16,FALSE)</f>
        <v>#N/A</v>
      </c>
      <c r="L3650" s="4">
        <v>44890</v>
      </c>
      <c r="M3650" s="143">
        <v>16</v>
      </c>
      <c r="P3650" s="4" t="e">
        <f>VLOOKUP(H3650,Stock_list!A:Y,25,FALSE)</f>
        <v>#N/A</v>
      </c>
      <c r="T3650" s="144"/>
      <c r="U3650" s="145" t="e">
        <f>VLOOKUP(H3650,Stock_list!A:N,14,FALSE)</f>
        <v>#N/A</v>
      </c>
    </row>
    <row r="3651" spans="1:21" ht="16.5" customHeight="1">
      <c r="A3651" s="159" t="s">
        <v>267</v>
      </c>
      <c r="B3651" s="114" t="str">
        <f>VLOOKUP(A3651,'Data pick slip'!B:F,5,FALSE)</f>
        <v>KHJ-MC600-00</v>
      </c>
      <c r="F3651" s="157" t="s">
        <v>270</v>
      </c>
      <c r="H3651" s="138">
        <v>1755</v>
      </c>
      <c r="I3651" s="139" t="e">
        <f>VLOOKUP(H3651,Stock_list!A:R,18,FALSE)</f>
        <v>#N/A</v>
      </c>
      <c r="J3651" s="139" t="e">
        <f>VLOOKUP(H3651,Stock_list!A:S,17,FALSE)</f>
        <v>#N/A</v>
      </c>
      <c r="K3651" s="51" t="e">
        <f>VLOOKUP(H3651,Stock_list!A:T,16,FALSE)</f>
        <v>#N/A</v>
      </c>
      <c r="L3651" s="4">
        <v>44890</v>
      </c>
      <c r="M3651" s="143">
        <v>6</v>
      </c>
      <c r="P3651" s="4" t="e">
        <f>VLOOKUP(H3651,Stock_list!A:Y,25,FALSE)</f>
        <v>#N/A</v>
      </c>
      <c r="T3651" s="144"/>
      <c r="U3651" s="145" t="e">
        <f>VLOOKUP(H3651,Stock_list!A:N,14,FALSE)</f>
        <v>#N/A</v>
      </c>
    </row>
    <row r="3652" spans="1:21" ht="16.5" customHeight="1">
      <c r="A3652" s="159" t="s">
        <v>261</v>
      </c>
      <c r="B3652" s="114" t="str">
        <f>VLOOKUP(A3652,'Data pick slip'!B:F,5,FALSE)</f>
        <v>KHJ-MC100-00</v>
      </c>
      <c r="F3652" s="157" t="s">
        <v>270</v>
      </c>
      <c r="H3652" s="138">
        <v>1763</v>
      </c>
      <c r="I3652" s="139" t="e">
        <f>VLOOKUP(H3652,Stock_list!A:R,18,FALSE)</f>
        <v>#N/A</v>
      </c>
      <c r="J3652" s="139" t="e">
        <f>VLOOKUP(H3652,Stock_list!A:S,17,FALSE)</f>
        <v>#N/A</v>
      </c>
      <c r="K3652" s="51" t="e">
        <f>VLOOKUP(H3652,Stock_list!A:T,16,FALSE)</f>
        <v>#N/A</v>
      </c>
      <c r="L3652" s="4">
        <v>44900</v>
      </c>
      <c r="M3652" s="143">
        <v>30</v>
      </c>
      <c r="P3652" s="4" t="e">
        <f>VLOOKUP(H3652,Stock_list!A:Y,25,FALSE)</f>
        <v>#N/A</v>
      </c>
      <c r="T3652" s="144"/>
      <c r="U3652" s="145" t="e">
        <f>VLOOKUP(H3652,Stock_list!A:N,14,FALSE)</f>
        <v>#N/A</v>
      </c>
    </row>
    <row r="3653" spans="1:21" ht="16.5" customHeight="1">
      <c r="A3653" s="159" t="s">
        <v>264</v>
      </c>
      <c r="B3653" s="114" t="str">
        <f>VLOOKUP(A3653,'Data pick slip'!B:F,5,FALSE)</f>
        <v>KHJ-MC200-00</v>
      </c>
      <c r="F3653" s="157" t="s">
        <v>270</v>
      </c>
      <c r="H3653" s="138">
        <v>1763</v>
      </c>
      <c r="I3653" s="139" t="e">
        <f>VLOOKUP(H3653,Stock_list!A:R,18,FALSE)</f>
        <v>#N/A</v>
      </c>
      <c r="J3653" s="139" t="e">
        <f>VLOOKUP(H3653,Stock_list!A:S,17,FALSE)</f>
        <v>#N/A</v>
      </c>
      <c r="K3653" s="51" t="e">
        <f>VLOOKUP(H3653,Stock_list!A:T,16,FALSE)</f>
        <v>#N/A</v>
      </c>
      <c r="L3653" s="4">
        <v>44900</v>
      </c>
      <c r="M3653" s="143">
        <v>10</v>
      </c>
      <c r="P3653" s="4" t="e">
        <f>VLOOKUP(H3653,Stock_list!A:Y,25,FALSE)</f>
        <v>#N/A</v>
      </c>
      <c r="T3653" s="144"/>
      <c r="U3653" s="145" t="e">
        <f>VLOOKUP(H3653,Stock_list!A:N,14,FALSE)</f>
        <v>#N/A</v>
      </c>
    </row>
    <row r="3654" spans="1:21" ht="16.5" customHeight="1">
      <c r="A3654" s="159" t="s">
        <v>265</v>
      </c>
      <c r="B3654" s="114" t="str">
        <f>VLOOKUP(A3654,'Data pick slip'!B:F,5,FALSE)</f>
        <v>KHJ-MC400-00</v>
      </c>
      <c r="F3654" s="157" t="s">
        <v>270</v>
      </c>
      <c r="H3654" s="138">
        <v>1763</v>
      </c>
      <c r="I3654" s="139" t="e">
        <f>VLOOKUP(H3654,Stock_list!A:R,18,FALSE)</f>
        <v>#N/A</v>
      </c>
      <c r="J3654" s="139" t="e">
        <f>VLOOKUP(H3654,Stock_list!A:S,17,FALSE)</f>
        <v>#N/A</v>
      </c>
      <c r="K3654" s="51" t="e">
        <f>VLOOKUP(H3654,Stock_list!A:T,16,FALSE)</f>
        <v>#N/A</v>
      </c>
      <c r="L3654" s="4">
        <v>44900</v>
      </c>
      <c r="M3654" s="143">
        <v>5</v>
      </c>
      <c r="P3654" s="4" t="e">
        <f>VLOOKUP(H3654,Stock_list!A:Y,25,FALSE)</f>
        <v>#N/A</v>
      </c>
      <c r="T3654" s="144"/>
      <c r="U3654" s="145" t="e">
        <f>VLOOKUP(H3654,Stock_list!A:N,14,FALSE)</f>
        <v>#N/A</v>
      </c>
    </row>
    <row r="3655" spans="1:21" ht="16.5" customHeight="1">
      <c r="A3655" s="159" t="s">
        <v>261</v>
      </c>
      <c r="B3655" s="114" t="str">
        <f>VLOOKUP(A3655,'Data pick slip'!B:F,5,FALSE)</f>
        <v>KHJ-MC100-00</v>
      </c>
      <c r="F3655" s="157" t="s">
        <v>270</v>
      </c>
      <c r="H3655" s="138">
        <v>1764</v>
      </c>
      <c r="I3655" s="139" t="e">
        <f>VLOOKUP(H3655,Stock_list!A:R,18,FALSE)</f>
        <v>#N/A</v>
      </c>
      <c r="J3655" s="139" t="e">
        <f>VLOOKUP(H3655,Stock_list!A:S,17,FALSE)</f>
        <v>#N/A</v>
      </c>
      <c r="K3655" s="51" t="e">
        <f>VLOOKUP(H3655,Stock_list!A:T,16,FALSE)</f>
        <v>#N/A</v>
      </c>
      <c r="L3655" s="4"/>
      <c r="N3655" s="143">
        <v>10</v>
      </c>
      <c r="P3655" s="4" t="e">
        <f>VLOOKUP(H3655,Stock_list!A:Y,25,FALSE)</f>
        <v>#N/A</v>
      </c>
      <c r="Q3655" s="143"/>
      <c r="T3655" s="144"/>
      <c r="U3655" s="145" t="e">
        <f>VLOOKUP(H3655,Stock_list!A:N,14,FALSE)</f>
        <v>#N/A</v>
      </c>
    </row>
    <row r="3656" spans="1:21" ht="16.5" customHeight="1">
      <c r="A3656" s="159" t="s">
        <v>264</v>
      </c>
      <c r="B3656" s="114" t="str">
        <f>VLOOKUP(A3656,'Data pick slip'!B:F,5,FALSE)</f>
        <v>KHJ-MC200-00</v>
      </c>
      <c r="F3656" s="157" t="s">
        <v>270</v>
      </c>
      <c r="H3656" s="138">
        <v>1764</v>
      </c>
      <c r="I3656" s="139" t="e">
        <f>VLOOKUP(H3656,Stock_list!A:R,18,FALSE)</f>
        <v>#N/A</v>
      </c>
      <c r="J3656" s="139" t="e">
        <f>VLOOKUP(H3656,Stock_list!A:S,17,FALSE)</f>
        <v>#N/A</v>
      </c>
      <c r="K3656" s="51" t="e">
        <f>VLOOKUP(H3656,Stock_list!A:T,16,FALSE)</f>
        <v>#N/A</v>
      </c>
      <c r="L3656" s="4"/>
      <c r="N3656" s="143">
        <v>10</v>
      </c>
      <c r="P3656" s="4" t="e">
        <f>VLOOKUP(H3656,Stock_list!A:Y,25,FALSE)</f>
        <v>#N/A</v>
      </c>
      <c r="Q3656" s="143"/>
      <c r="T3656" s="144"/>
      <c r="U3656" s="145" t="e">
        <f>VLOOKUP(H3656,Stock_list!A:N,14,FALSE)</f>
        <v>#N/A</v>
      </c>
    </row>
    <row r="3657" spans="1:21" ht="16.5" customHeight="1">
      <c r="A3657" s="159" t="s">
        <v>272</v>
      </c>
      <c r="B3657" s="114" t="str">
        <f>VLOOKUP(A3657,'Data pick slip'!B:F,5,FALSE)</f>
        <v>KLJ-MC100-00</v>
      </c>
      <c r="F3657" s="157" t="s">
        <v>270</v>
      </c>
      <c r="H3657" s="138">
        <v>1767</v>
      </c>
      <c r="I3657" s="139" t="e">
        <f>VLOOKUP(H3657,Stock_list!A:R,18,FALSE)</f>
        <v>#N/A</v>
      </c>
      <c r="J3657" s="139" t="e">
        <f>VLOOKUP(H3657,Stock_list!A:S,17,FALSE)</f>
        <v>#N/A</v>
      </c>
      <c r="K3657" s="51" t="e">
        <f>VLOOKUP(H3657,Stock_list!A:T,16,FALSE)</f>
        <v>#N/A</v>
      </c>
      <c r="L3657" s="4"/>
      <c r="N3657" s="132">
        <v>6</v>
      </c>
      <c r="P3657" s="4" t="e">
        <f>VLOOKUP(H3657,Stock_list!A:Y,25,FALSE)</f>
        <v>#N/A</v>
      </c>
      <c r="Q3657" s="143"/>
      <c r="T3657" s="144"/>
      <c r="U3657" s="145" t="e">
        <f>VLOOKUP(H3657,Stock_list!A:N,14,FALSE)</f>
        <v>#N/A</v>
      </c>
    </row>
    <row r="3658" spans="1:21" ht="16.5" customHeight="1">
      <c r="A3658" s="159" t="s">
        <v>261</v>
      </c>
      <c r="B3658" s="114" t="str">
        <f>VLOOKUP(A3658,'Data pick slip'!B:F,5,FALSE)</f>
        <v>KHJ-MC100-00</v>
      </c>
      <c r="F3658" s="157" t="s">
        <v>279</v>
      </c>
      <c r="H3658" s="138">
        <v>1770</v>
      </c>
      <c r="I3658" s="139" t="e">
        <f>VLOOKUP(H3658,Stock_list!A:R,18,FALSE)</f>
        <v>#N/A</v>
      </c>
      <c r="J3658" s="139" t="e">
        <f>VLOOKUP(H3658,Stock_list!A:S,17,FALSE)</f>
        <v>#N/A</v>
      </c>
      <c r="K3658" s="51" t="e">
        <f>VLOOKUP(H3658,Stock_list!A:T,16,FALSE)</f>
        <v>#N/A</v>
      </c>
      <c r="L3658" s="4"/>
      <c r="P3658" s="4" t="e">
        <f>VLOOKUP(H3658,Stock_list!A:Y,25,FALSE)</f>
        <v>#N/A</v>
      </c>
      <c r="Q3658" s="143">
        <v>113</v>
      </c>
      <c r="T3658" s="144"/>
      <c r="U3658" s="145" t="e">
        <f>VLOOKUP(H3658,Stock_list!A:N,14,FALSE)</f>
        <v>#N/A</v>
      </c>
    </row>
    <row r="3659" spans="1:21" ht="16.5" customHeight="1">
      <c r="A3659" s="159" t="s">
        <v>264</v>
      </c>
      <c r="B3659" s="114" t="str">
        <f>VLOOKUP(A3659,'Data pick slip'!B:F,5,FALSE)</f>
        <v>KHJ-MC200-00</v>
      </c>
      <c r="F3659" s="157" t="s">
        <v>279</v>
      </c>
      <c r="H3659" s="138">
        <v>1770</v>
      </c>
      <c r="I3659" s="139" t="e">
        <f>VLOOKUP(H3659,Stock_list!A:R,18,FALSE)</f>
        <v>#N/A</v>
      </c>
      <c r="J3659" s="139" t="e">
        <f>VLOOKUP(H3659,Stock_list!A:S,17,FALSE)</f>
        <v>#N/A</v>
      </c>
      <c r="K3659" s="51" t="e">
        <f>VLOOKUP(H3659,Stock_list!A:T,16,FALSE)</f>
        <v>#N/A</v>
      </c>
      <c r="L3659" s="4"/>
      <c r="P3659" s="4" t="e">
        <f>VLOOKUP(H3659,Stock_list!A:Y,25,FALSE)</f>
        <v>#N/A</v>
      </c>
      <c r="Q3659" s="143">
        <v>10</v>
      </c>
      <c r="T3659" s="144"/>
      <c r="U3659" s="145" t="e">
        <f>VLOOKUP(H3659,Stock_list!A:N,14,FALSE)</f>
        <v>#N/A</v>
      </c>
    </row>
    <row r="3660" spans="1:21" ht="16.5" customHeight="1">
      <c r="A3660" s="159" t="s">
        <v>265</v>
      </c>
      <c r="B3660" s="114" t="str">
        <f>VLOOKUP(A3660,'Data pick slip'!B:F,5,FALSE)</f>
        <v>KHJ-MC400-00</v>
      </c>
      <c r="F3660" s="157" t="s">
        <v>279</v>
      </c>
      <c r="H3660" s="138">
        <v>1770</v>
      </c>
      <c r="I3660" s="139" t="e">
        <f>VLOOKUP(H3660,Stock_list!A:R,18,FALSE)</f>
        <v>#N/A</v>
      </c>
      <c r="J3660" s="139" t="e">
        <f>VLOOKUP(H3660,Stock_list!A:S,17,FALSE)</f>
        <v>#N/A</v>
      </c>
      <c r="K3660" s="51" t="e">
        <f>VLOOKUP(H3660,Stock_list!A:T,16,FALSE)</f>
        <v>#N/A</v>
      </c>
      <c r="L3660" s="4"/>
      <c r="P3660" s="4" t="e">
        <f>VLOOKUP(H3660,Stock_list!A:Y,25,FALSE)</f>
        <v>#N/A</v>
      </c>
      <c r="Q3660" s="143">
        <v>5</v>
      </c>
      <c r="T3660" s="144"/>
      <c r="U3660" s="145" t="e">
        <f>VLOOKUP(H3660,Stock_list!A:N,14,FALSE)</f>
        <v>#N/A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261</v>
      </c>
      <c r="B3670" s="114" t="str">
        <f>VLOOKUP(A3670,'Data pick slip'!B:F,5,FALSE)</f>
        <v>KHJ-MC100-00</v>
      </c>
      <c r="C3670" s="211"/>
      <c r="D3670" s="212"/>
      <c r="E3670" s="307"/>
      <c r="F3670" s="213" t="s">
        <v>300</v>
      </c>
      <c r="G3670" s="214"/>
      <c r="H3670" s="215"/>
      <c r="I3670" s="216" t="s">
        <v>301</v>
      </c>
      <c r="J3670" s="216" t="s">
        <v>301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264</v>
      </c>
      <c r="B3671" s="114" t="str">
        <f>VLOOKUP(A3671,'Data pick slip'!B:F,5,FALSE)</f>
        <v>KHJ-MC200-00</v>
      </c>
      <c r="C3671" s="211"/>
      <c r="D3671" s="212"/>
      <c r="E3671" s="307"/>
      <c r="F3671" s="213" t="s">
        <v>300</v>
      </c>
      <c r="G3671" s="214"/>
      <c r="H3671" s="215"/>
      <c r="I3671" s="216" t="s">
        <v>301</v>
      </c>
      <c r="J3671" s="216" t="s">
        <v>301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265</v>
      </c>
      <c r="B3672" s="114" t="str">
        <f>VLOOKUP(A3672,'Data pick slip'!B:F,5,FALSE)</f>
        <v>KHJ-MC400-00</v>
      </c>
      <c r="C3672" s="211"/>
      <c r="D3672" s="212"/>
      <c r="E3672" s="307"/>
      <c r="F3672" s="213" t="s">
        <v>300</v>
      </c>
      <c r="G3672" s="214"/>
      <c r="H3672" s="215"/>
      <c r="I3672" s="216" t="s">
        <v>301</v>
      </c>
      <c r="J3672" s="216" t="s">
        <v>301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266</v>
      </c>
      <c r="B3673" s="114" t="str">
        <f>VLOOKUP(A3673,'Data pick slip'!B:F,5,FALSE)</f>
        <v>KHJ-MC500-00</v>
      </c>
      <c r="C3673" s="211"/>
      <c r="D3673" s="212"/>
      <c r="E3673" s="307"/>
      <c r="F3673" s="213" t="s">
        <v>300</v>
      </c>
      <c r="G3673" s="214"/>
      <c r="H3673" s="215"/>
      <c r="I3673" s="216" t="s">
        <v>301</v>
      </c>
      <c r="J3673" s="216" t="s">
        <v>301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267</v>
      </c>
      <c r="B3674" s="114" t="str">
        <f>VLOOKUP(A3674,'Data pick slip'!B:F,5,FALSE)</f>
        <v>KHJ-MC600-00</v>
      </c>
      <c r="C3674" s="211"/>
      <c r="D3674" s="212"/>
      <c r="E3674" s="307"/>
      <c r="F3674" s="213" t="s">
        <v>300</v>
      </c>
      <c r="G3674" s="214"/>
      <c r="H3674" s="215"/>
      <c r="I3674" s="216" t="s">
        <v>301</v>
      </c>
      <c r="J3674" s="216" t="s">
        <v>301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268</v>
      </c>
      <c r="B3675" s="114" t="str">
        <f>VLOOKUP(A3675,'Data pick slip'!B:F,5,FALSE)</f>
        <v>KHJ-MC700-00</v>
      </c>
      <c r="C3675" s="211"/>
      <c r="D3675" s="212"/>
      <c r="E3675" s="307"/>
      <c r="F3675" s="213" t="s">
        <v>300</v>
      </c>
      <c r="G3675" s="214"/>
      <c r="H3675" s="215"/>
      <c r="I3675" s="216" t="s">
        <v>301</v>
      </c>
      <c r="J3675" s="216" t="s">
        <v>301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269</v>
      </c>
      <c r="B3676" s="114" t="str">
        <f>VLOOKUP(A3676,'Data pick slip'!B:F,5,FALSE)</f>
        <v>KHJ-MC800-00</v>
      </c>
      <c r="C3676" s="211"/>
      <c r="D3676" s="212"/>
      <c r="E3676" s="307"/>
      <c r="F3676" s="213" t="s">
        <v>300</v>
      </c>
      <c r="G3676" s="214"/>
      <c r="H3676" s="215"/>
      <c r="I3676" s="216" t="s">
        <v>301</v>
      </c>
      <c r="J3676" s="216" t="s">
        <v>301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272</v>
      </c>
      <c r="B3677" s="114" t="str">
        <f>VLOOKUP(A3677,'Data pick slip'!B:F,5,FALSE)</f>
        <v>KLJ-MC100-00</v>
      </c>
      <c r="C3677" s="211"/>
      <c r="D3677" s="212"/>
      <c r="E3677" s="307"/>
      <c r="F3677" s="213" t="s">
        <v>300</v>
      </c>
      <c r="G3677" s="214"/>
      <c r="H3677" s="215"/>
      <c r="I3677" s="216" t="s">
        <v>301</v>
      </c>
      <c r="J3677" s="216" t="s">
        <v>301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273</v>
      </c>
      <c r="B3678" s="114" t="str">
        <f>VLOOKUP(A3678,'Data pick slip'!B:F,5,FALSE)</f>
        <v>KLJ-MC200-00</v>
      </c>
      <c r="C3678" s="211"/>
      <c r="D3678" s="212"/>
      <c r="E3678" s="307"/>
      <c r="F3678" s="213" t="s">
        <v>300</v>
      </c>
      <c r="G3678" s="214"/>
      <c r="H3678" s="215"/>
      <c r="I3678" s="216" t="s">
        <v>301</v>
      </c>
      <c r="J3678" s="216" t="s">
        <v>301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274</v>
      </c>
      <c r="B3679" s="114" t="str">
        <f>VLOOKUP(A3679,'Data pick slip'!B:F,5,FALSE)</f>
        <v>KLJ-MC400-00</v>
      </c>
      <c r="C3679" s="211"/>
      <c r="D3679" s="212"/>
      <c r="E3679" s="307"/>
      <c r="F3679" s="213" t="s">
        <v>300</v>
      </c>
      <c r="G3679" s="214"/>
      <c r="H3679" s="215"/>
      <c r="I3679" s="216" t="s">
        <v>301</v>
      </c>
      <c r="J3679" s="216" t="s">
        <v>301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</v>
      </c>
      <c r="B3680" s="114" t="str">
        <f>VLOOKUP(A3680,'Data pick slip'!B:F,5,FALSE)</f>
        <v>KLJ-MC500-00</v>
      </c>
      <c r="C3680" s="211"/>
      <c r="D3680" s="212"/>
      <c r="E3680" s="307"/>
      <c r="F3680" s="213" t="s">
        <v>300</v>
      </c>
      <c r="G3680" s="214"/>
      <c r="H3680" s="215"/>
      <c r="I3680" s="216" t="s">
        <v>301</v>
      </c>
      <c r="J3680" s="216" t="s">
        <v>301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276</v>
      </c>
      <c r="B3681" s="114" t="str">
        <f>VLOOKUP(A3681,'Data pick slip'!B:F,5,FALSE)</f>
        <v>KLJ-MC600-00</v>
      </c>
      <c r="C3681" s="211"/>
      <c r="D3681" s="212"/>
      <c r="E3681" s="307"/>
      <c r="F3681" s="213" t="s">
        <v>300</v>
      </c>
      <c r="G3681" s="214"/>
      <c r="H3681" s="215"/>
      <c r="I3681" s="216" t="s">
        <v>301</v>
      </c>
      <c r="J3681" s="216" t="s">
        <v>301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277</v>
      </c>
      <c r="B3682" s="114" t="str">
        <f>VLOOKUP(A3682,'Data pick slip'!B:F,5,FALSE)</f>
        <v>KLJ-MC700-00</v>
      </c>
      <c r="C3682" s="211"/>
      <c r="D3682" s="212"/>
      <c r="E3682" s="307"/>
      <c r="F3682" s="213" t="s">
        <v>300</v>
      </c>
      <c r="G3682" s="214"/>
      <c r="H3682" s="215"/>
      <c r="I3682" s="216" t="s">
        <v>301</v>
      </c>
      <c r="J3682" s="216" t="s">
        <v>301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278</v>
      </c>
      <c r="B3683" s="114" t="str">
        <f>VLOOKUP(A3683,'Data pick slip'!B:F,5,FALSE)</f>
        <v>KLJ-MC800-00</v>
      </c>
      <c r="C3683" s="211"/>
      <c r="D3683" s="212"/>
      <c r="E3683" s="307"/>
      <c r="F3683" s="213" t="s">
        <v>300</v>
      </c>
      <c r="G3683" s="214"/>
      <c r="H3683" s="215"/>
      <c r="I3683" s="216" t="s">
        <v>301</v>
      </c>
      <c r="J3683" s="216" t="s">
        <v>301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261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302</v>
      </c>
      <c r="G3684" s="222"/>
      <c r="H3684" s="223"/>
      <c r="I3684" s="224" t="s">
        <v>303</v>
      </c>
      <c r="J3684" s="224" t="s">
        <v>303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264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302</v>
      </c>
      <c r="G3685" s="222"/>
      <c r="H3685" s="223"/>
      <c r="I3685" s="224" t="s">
        <v>303</v>
      </c>
      <c r="J3685" s="224" t="s">
        <v>303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265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302</v>
      </c>
      <c r="G3686" s="222"/>
      <c r="H3686" s="223"/>
      <c r="I3686" s="224" t="s">
        <v>303</v>
      </c>
      <c r="J3686" s="224" t="s">
        <v>303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266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302</v>
      </c>
      <c r="G3687" s="222"/>
      <c r="H3687" s="223"/>
      <c r="I3687" s="224" t="s">
        <v>303</v>
      </c>
      <c r="J3687" s="224" t="s">
        <v>303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267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302</v>
      </c>
      <c r="G3688" s="222"/>
      <c r="H3688" s="223"/>
      <c r="I3688" s="224" t="s">
        <v>303</v>
      </c>
      <c r="J3688" s="224" t="s">
        <v>303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268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302</v>
      </c>
      <c r="G3689" s="222"/>
      <c r="H3689" s="223"/>
      <c r="I3689" s="224" t="s">
        <v>303</v>
      </c>
      <c r="J3689" s="224" t="s">
        <v>303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269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302</v>
      </c>
      <c r="G3690" s="222"/>
      <c r="H3690" s="223"/>
      <c r="I3690" s="224" t="s">
        <v>303</v>
      </c>
      <c r="J3690" s="224" t="s">
        <v>303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272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302</v>
      </c>
      <c r="G3691" s="222"/>
      <c r="H3691" s="223"/>
      <c r="I3691" s="224" t="s">
        <v>303</v>
      </c>
      <c r="J3691" s="224" t="s">
        <v>303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273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302</v>
      </c>
      <c r="G3692" s="222"/>
      <c r="H3692" s="223"/>
      <c r="I3692" s="224" t="s">
        <v>303</v>
      </c>
      <c r="J3692" s="224" t="s">
        <v>303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274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302</v>
      </c>
      <c r="G3693" s="222"/>
      <c r="H3693" s="223"/>
      <c r="I3693" s="224" t="s">
        <v>303</v>
      </c>
      <c r="J3693" s="224" t="s">
        <v>303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302</v>
      </c>
      <c r="G3694" s="222"/>
      <c r="H3694" s="223"/>
      <c r="I3694" s="224" t="s">
        <v>303</v>
      </c>
      <c r="J3694" s="224" t="s">
        <v>303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276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302</v>
      </c>
      <c r="G3695" s="222"/>
      <c r="H3695" s="223"/>
      <c r="I3695" s="224" t="s">
        <v>303</v>
      </c>
      <c r="J3695" s="224" t="s">
        <v>303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277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302</v>
      </c>
      <c r="G3696" s="222"/>
      <c r="H3696" s="223"/>
      <c r="I3696" s="224" t="s">
        <v>303</v>
      </c>
      <c r="J3696" s="224" t="s">
        <v>303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278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302</v>
      </c>
      <c r="G3697" s="222"/>
      <c r="H3697" s="223"/>
      <c r="I3697" s="224" t="s">
        <v>303</v>
      </c>
      <c r="J3697" s="224" t="s">
        <v>303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261</v>
      </c>
      <c r="B3698" s="114" t="str">
        <f>VLOOKUP(A3698,'Data pick slip'!B:F,5,FALSE)</f>
        <v>KHJ-MC100-00</v>
      </c>
      <c r="C3698" s="211"/>
      <c r="D3698" s="212">
        <v>25</v>
      </c>
      <c r="E3698" s="307" t="e">
        <f>VLOOKUP(C3698,Stock_list!D:L,9,FALSE)</f>
        <v>#N/A</v>
      </c>
      <c r="F3698" s="213" t="s">
        <v>300</v>
      </c>
      <c r="G3698" s="214"/>
      <c r="H3698" s="215"/>
      <c r="I3698" s="216" t="s">
        <v>304</v>
      </c>
      <c r="J3698" s="216" t="s">
        <v>305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264</v>
      </c>
      <c r="B3699" s="114" t="str">
        <f>VLOOKUP(A3699,'Data pick slip'!B:F,5,FALSE)</f>
        <v>KHJ-MC200-00</v>
      </c>
      <c r="C3699" s="211"/>
      <c r="D3699" s="212">
        <v>10</v>
      </c>
      <c r="E3699" s="307" t="e">
        <f>VLOOKUP(C3699,Stock_list!D:L,9,FALSE)</f>
        <v>#N/A</v>
      </c>
      <c r="F3699" s="213" t="s">
        <v>300</v>
      </c>
      <c r="G3699" s="214"/>
      <c r="H3699" s="215"/>
      <c r="I3699" s="216" t="s">
        <v>304</v>
      </c>
      <c r="J3699" s="216" t="s">
        <v>305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265</v>
      </c>
      <c r="B3700" s="114" t="str">
        <f>VLOOKUP(A3700,'Data pick slip'!B:F,5,FALSE)</f>
        <v>KHJ-MC400-00</v>
      </c>
      <c r="C3700" s="211"/>
      <c r="D3700" s="212">
        <v>2</v>
      </c>
      <c r="E3700" s="307" t="e">
        <f>VLOOKUP(C3700,Stock_list!D:L,9,FALSE)</f>
        <v>#N/A</v>
      </c>
      <c r="F3700" s="213" t="s">
        <v>300</v>
      </c>
      <c r="G3700" s="214"/>
      <c r="H3700" s="215"/>
      <c r="I3700" s="216" t="s">
        <v>304</v>
      </c>
      <c r="J3700" s="216" t="s">
        <v>305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261</v>
      </c>
      <c r="B3701" s="114" t="str">
        <f>VLOOKUP(A3701,'Data pick slip'!B:F,5,FALSE)</f>
        <v>KHJ-MC100-00</v>
      </c>
      <c r="C3701" s="211"/>
      <c r="D3701" s="212">
        <v>25</v>
      </c>
      <c r="E3701" s="307" t="e">
        <f>VLOOKUP(C3701,Stock_list!D:L,9,FALSE)</f>
        <v>#N/A</v>
      </c>
      <c r="F3701" s="213" t="s">
        <v>306</v>
      </c>
      <c r="G3701" s="214"/>
      <c r="H3701" s="215"/>
      <c r="I3701" s="216" t="s">
        <v>304</v>
      </c>
      <c r="J3701" s="216" t="s">
        <v>305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264</v>
      </c>
      <c r="B3702" s="114" t="str">
        <f>VLOOKUP(A3702,'Data pick slip'!B:F,5,FALSE)</f>
        <v>KHJ-MC200-00</v>
      </c>
      <c r="C3702" s="211"/>
      <c r="D3702" s="212">
        <v>10</v>
      </c>
      <c r="E3702" s="307" t="e">
        <f>VLOOKUP(C3702,Stock_list!D:L,9,FALSE)</f>
        <v>#N/A</v>
      </c>
      <c r="F3702" s="213" t="s">
        <v>306</v>
      </c>
      <c r="G3702" s="214"/>
      <c r="H3702" s="215"/>
      <c r="I3702" s="216" t="s">
        <v>304</v>
      </c>
      <c r="J3702" s="216" t="s">
        <v>305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265</v>
      </c>
      <c r="B3703" s="114" t="str">
        <f>VLOOKUP(A3703,'Data pick slip'!B:F,5,FALSE)</f>
        <v>KHJ-MC400-00</v>
      </c>
      <c r="C3703" s="211"/>
      <c r="D3703" s="212">
        <v>2</v>
      </c>
      <c r="E3703" s="307" t="e">
        <f>VLOOKUP(C3703,Stock_list!D:L,9,FALSE)</f>
        <v>#N/A</v>
      </c>
      <c r="F3703" s="213" t="s">
        <v>306</v>
      </c>
      <c r="G3703" s="214"/>
      <c r="H3703" s="215"/>
      <c r="I3703" s="216" t="s">
        <v>304</v>
      </c>
      <c r="J3703" s="216" t="s">
        <v>305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261</v>
      </c>
      <c r="B3704" s="114" t="str">
        <f>VLOOKUP(A3704,'Data pick slip'!B:F,5,FALSE)</f>
        <v>KHJ-MC100-00</v>
      </c>
      <c r="C3704" s="211"/>
      <c r="D3704" s="212">
        <v>25</v>
      </c>
      <c r="E3704" s="307" t="e">
        <f>VLOOKUP(C3704,Stock_list!D:L,9,FALSE)</f>
        <v>#N/A</v>
      </c>
      <c r="F3704" s="213" t="s">
        <v>279</v>
      </c>
      <c r="G3704" s="214"/>
      <c r="H3704" s="215"/>
      <c r="I3704" s="216" t="s">
        <v>304</v>
      </c>
      <c r="J3704" s="216" t="s">
        <v>305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264</v>
      </c>
      <c r="B3705" s="114" t="str">
        <f>VLOOKUP(A3705,'Data pick slip'!B:F,5,FALSE)</f>
        <v>KHJ-MC200-00</v>
      </c>
      <c r="C3705" s="211"/>
      <c r="D3705" s="212">
        <v>10</v>
      </c>
      <c r="E3705" s="307" t="e">
        <f>VLOOKUP(C3705,Stock_list!D:L,9,FALSE)</f>
        <v>#N/A</v>
      </c>
      <c r="F3705" s="213" t="s">
        <v>279</v>
      </c>
      <c r="G3705" s="214"/>
      <c r="H3705" s="215"/>
      <c r="I3705" s="216" t="s">
        <v>304</v>
      </c>
      <c r="J3705" s="216" t="s">
        <v>305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265</v>
      </c>
      <c r="B3706" s="114" t="str">
        <f>VLOOKUP(A3706,'Data pick slip'!B:F,5,FALSE)</f>
        <v>KHJ-MC400-00</v>
      </c>
      <c r="C3706" s="211"/>
      <c r="D3706" s="212">
        <v>2</v>
      </c>
      <c r="E3706" s="307" t="e">
        <f>VLOOKUP(C3706,Stock_list!D:L,9,FALSE)</f>
        <v>#N/A</v>
      </c>
      <c r="F3706" s="213" t="s">
        <v>279</v>
      </c>
      <c r="G3706" s="214"/>
      <c r="H3706" s="215"/>
      <c r="I3706" s="216" t="s">
        <v>304</v>
      </c>
      <c r="J3706" s="216" t="s">
        <v>305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261</v>
      </c>
      <c r="B3707" s="114" t="str">
        <f>VLOOKUP(A3707,'Data pick slip'!B:F,5,FALSE)</f>
        <v>KHJ-MC100-00</v>
      </c>
      <c r="C3707" s="211"/>
      <c r="D3707" s="212">
        <v>50</v>
      </c>
      <c r="E3707" s="307" t="e">
        <f>VLOOKUP(C3707,Stock_list!D:L,9,FALSE)</f>
        <v>#N/A</v>
      </c>
      <c r="F3707" s="213" t="s">
        <v>300</v>
      </c>
      <c r="G3707" s="214"/>
      <c r="H3707" s="215"/>
      <c r="I3707" s="216" t="s">
        <v>304</v>
      </c>
      <c r="J3707" s="216" t="s">
        <v>307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264</v>
      </c>
      <c r="B3708" s="114" t="str">
        <f>VLOOKUP(A3708,'Data pick slip'!B:F,5,FALSE)</f>
        <v>KHJ-MC200-00</v>
      </c>
      <c r="C3708" s="211"/>
      <c r="D3708" s="212">
        <v>5</v>
      </c>
      <c r="E3708" s="307" t="e">
        <f>VLOOKUP(C3708,Stock_list!D:L,9,FALSE)</f>
        <v>#N/A</v>
      </c>
      <c r="F3708" s="213" t="s">
        <v>300</v>
      </c>
      <c r="G3708" s="214"/>
      <c r="H3708" s="215"/>
      <c r="I3708" s="216" t="s">
        <v>304</v>
      </c>
      <c r="J3708" s="216" t="s">
        <v>307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265</v>
      </c>
      <c r="B3709" s="114" t="str">
        <f>VLOOKUP(A3709,'Data pick slip'!B:F,5,FALSE)</f>
        <v>KHJ-MC400-00</v>
      </c>
      <c r="C3709" s="211"/>
      <c r="D3709" s="212">
        <v>1</v>
      </c>
      <c r="E3709" s="307" t="e">
        <f>VLOOKUP(C3709,Stock_list!D:L,9,FALSE)</f>
        <v>#N/A</v>
      </c>
      <c r="F3709" s="213" t="s">
        <v>300</v>
      </c>
      <c r="G3709" s="214"/>
      <c r="H3709" s="215"/>
      <c r="I3709" s="216" t="s">
        <v>304</v>
      </c>
      <c r="J3709" s="216" t="s">
        <v>307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261</v>
      </c>
      <c r="B3710" s="114" t="str">
        <f>VLOOKUP(A3710,'Data pick slip'!B:F,5,FALSE)</f>
        <v>KHJ-MC100-00</v>
      </c>
      <c r="C3710" s="211"/>
      <c r="D3710" s="212">
        <v>50</v>
      </c>
      <c r="E3710" s="307" t="e">
        <f>VLOOKUP(C3710,Stock_list!D:L,9,FALSE)</f>
        <v>#N/A</v>
      </c>
      <c r="F3710" s="213" t="s">
        <v>306</v>
      </c>
      <c r="G3710" s="214"/>
      <c r="H3710" s="215"/>
      <c r="I3710" s="216" t="s">
        <v>304</v>
      </c>
      <c r="J3710" s="216" t="s">
        <v>307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264</v>
      </c>
      <c r="B3711" s="114" t="str">
        <f>VLOOKUP(A3711,'Data pick slip'!B:F,5,FALSE)</f>
        <v>KHJ-MC200-00</v>
      </c>
      <c r="C3711" s="211"/>
      <c r="D3711" s="212">
        <v>5</v>
      </c>
      <c r="E3711" s="307" t="e">
        <f>VLOOKUP(C3711,Stock_list!D:L,9,FALSE)</f>
        <v>#N/A</v>
      </c>
      <c r="F3711" s="213" t="s">
        <v>306</v>
      </c>
      <c r="G3711" s="214"/>
      <c r="H3711" s="215"/>
      <c r="I3711" s="216" t="s">
        <v>304</v>
      </c>
      <c r="J3711" s="216" t="s">
        <v>307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265</v>
      </c>
      <c r="B3712" s="114" t="str">
        <f>VLOOKUP(A3712,'Data pick slip'!B:F,5,FALSE)</f>
        <v>KHJ-MC400-00</v>
      </c>
      <c r="C3712" s="211"/>
      <c r="D3712" s="212">
        <v>1</v>
      </c>
      <c r="E3712" s="307" t="e">
        <f>VLOOKUP(C3712,Stock_list!D:L,9,FALSE)</f>
        <v>#N/A</v>
      </c>
      <c r="F3712" s="213" t="s">
        <v>306</v>
      </c>
      <c r="G3712" s="214"/>
      <c r="H3712" s="215"/>
      <c r="I3712" s="216" t="s">
        <v>304</v>
      </c>
      <c r="J3712" s="216" t="s">
        <v>307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261</v>
      </c>
      <c r="B3713" s="114" t="str">
        <f>VLOOKUP(A3713,'Data pick slip'!B:F,5,FALSE)</f>
        <v>KHJ-MC100-00</v>
      </c>
      <c r="C3713" s="211"/>
      <c r="D3713" s="212">
        <v>50</v>
      </c>
      <c r="E3713" s="307" t="e">
        <f>VLOOKUP(C3713,Stock_list!D:L,9,FALSE)</f>
        <v>#N/A</v>
      </c>
      <c r="F3713" s="213" t="s">
        <v>279</v>
      </c>
      <c r="G3713" s="214"/>
      <c r="H3713" s="215"/>
      <c r="I3713" s="216" t="s">
        <v>304</v>
      </c>
      <c r="J3713" s="216" t="s">
        <v>307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264</v>
      </c>
      <c r="B3714" s="114" t="str">
        <f>VLOOKUP(A3714,'Data pick slip'!B:F,5,FALSE)</f>
        <v>KHJ-MC200-00</v>
      </c>
      <c r="C3714" s="211"/>
      <c r="D3714" s="212">
        <v>5</v>
      </c>
      <c r="E3714" s="307" t="e">
        <f>VLOOKUP(C3714,Stock_list!D:L,9,FALSE)</f>
        <v>#N/A</v>
      </c>
      <c r="F3714" s="213" t="s">
        <v>279</v>
      </c>
      <c r="G3714" s="214"/>
      <c r="H3714" s="215"/>
      <c r="I3714" s="216" t="s">
        <v>304</v>
      </c>
      <c r="J3714" s="216" t="s">
        <v>307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265</v>
      </c>
      <c r="B3715" s="227" t="str">
        <f>VLOOKUP(A3715,'Data pick slip'!B:F,5,FALSE)</f>
        <v>KHJ-MC400-00</v>
      </c>
      <c r="C3715" s="228"/>
      <c r="D3715" s="229">
        <v>1</v>
      </c>
      <c r="E3715" s="308" t="e">
        <f>VLOOKUP(C3715,Stock_list!D:L,9,FALSE)</f>
        <v>#N/A</v>
      </c>
      <c r="F3715" s="230" t="s">
        <v>279</v>
      </c>
      <c r="G3715" s="231"/>
      <c r="H3715" s="232"/>
      <c r="I3715" s="233" t="s">
        <v>304</v>
      </c>
      <c r="J3715" s="233" t="s">
        <v>307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6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308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309</v>
      </c>
      <c r="B3724" s="254"/>
      <c r="C3724" s="219"/>
      <c r="D3724" s="220"/>
      <c r="E3724" s="255"/>
      <c r="F3724" s="221" t="s">
        <v>279</v>
      </c>
      <c r="G3724" s="222"/>
      <c r="H3724" s="223"/>
      <c r="I3724" s="224" t="s">
        <v>301</v>
      </c>
      <c r="J3724" s="224" t="s">
        <v>301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310</v>
      </c>
      <c r="B3725" s="114"/>
      <c r="F3725" s="221" t="s">
        <v>279</v>
      </c>
      <c r="G3725" s="222"/>
      <c r="H3725" s="223"/>
      <c r="I3725" s="224" t="s">
        <v>301</v>
      </c>
      <c r="J3725" s="224" t="s">
        <v>301</v>
      </c>
      <c r="K3725" s="51"/>
      <c r="N3725" s="132">
        <v>1</v>
      </c>
      <c r="P3725" s="4"/>
    </row>
    <row r="3726" spans="1:21">
      <c r="A3726" s="252" t="s">
        <v>311</v>
      </c>
      <c r="B3726" s="114"/>
      <c r="F3726" s="221" t="s">
        <v>279</v>
      </c>
      <c r="G3726" s="222"/>
      <c r="H3726" s="223"/>
      <c r="I3726" s="224" t="s">
        <v>301</v>
      </c>
      <c r="J3726" s="224" t="s">
        <v>301</v>
      </c>
      <c r="N3726" s="132">
        <v>4</v>
      </c>
      <c r="P3726" s="4"/>
    </row>
    <row r="3745" spans="4:4">
      <c r="D3745" s="206" t="s">
        <v>312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4.4"/>
  <cols>
    <col min="1" max="1" width="19.77734375" customWidth="1"/>
    <col min="2" max="2" width="15.77734375" style="256" customWidth="1"/>
    <col min="3" max="3" width="26.77734375" customWidth="1"/>
    <col min="4" max="4" width="17.44140625" bestFit="1" customWidth="1"/>
    <col min="5" max="5" width="13.77734375" bestFit="1" customWidth="1"/>
    <col min="6" max="6" width="33.44140625" style="17" bestFit="1" customWidth="1"/>
    <col min="7" max="9" width="33.21875" bestFit="1" customWidth="1"/>
  </cols>
  <sheetData>
    <row r="1" spans="1:14">
      <c r="B1"/>
    </row>
    <row r="2" spans="1:14">
      <c r="A2" s="262" t="s">
        <v>1051</v>
      </c>
      <c r="B2" t="s">
        <v>1052</v>
      </c>
    </row>
    <row r="3" spans="1:14">
      <c r="A3" s="262" t="s">
        <v>1053</v>
      </c>
      <c r="B3" s="331">
        <v>2023</v>
      </c>
    </row>
    <row r="4" spans="1:14">
      <c r="A4" s="262" t="s">
        <v>1054</v>
      </c>
      <c r="B4" t="s">
        <v>162</v>
      </c>
    </row>
    <row r="6" spans="1:14">
      <c r="B6"/>
      <c r="E6" s="262" t="s">
        <v>1055</v>
      </c>
    </row>
    <row r="7" spans="1:14">
      <c r="A7" s="262" t="s">
        <v>1056</v>
      </c>
      <c r="B7" s="262" t="s">
        <v>1057</v>
      </c>
      <c r="C7" s="262" t="s">
        <v>1058</v>
      </c>
      <c r="D7" s="262" t="s">
        <v>1059</v>
      </c>
      <c r="E7" t="s">
        <v>1060</v>
      </c>
      <c r="F7" s="17" t="s">
        <v>1061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219</v>
      </c>
      <c r="D8" t="s">
        <v>1772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113</v>
      </c>
      <c r="D9" t="s">
        <v>1773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113</v>
      </c>
      <c r="D10" t="s">
        <v>112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219</v>
      </c>
      <c r="D11" t="s">
        <v>73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18</v>
      </c>
      <c r="D12" t="s">
        <v>73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113</v>
      </c>
      <c r="D13" t="s">
        <v>112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18</v>
      </c>
      <c r="D14" t="s">
        <v>73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219</v>
      </c>
      <c r="D15" t="s">
        <v>73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18</v>
      </c>
      <c r="D16" t="s">
        <v>73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219</v>
      </c>
      <c r="D17" t="s">
        <v>73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18</v>
      </c>
      <c r="D18" t="s">
        <v>73</v>
      </c>
      <c r="E18">
        <v>5</v>
      </c>
      <c r="F18" s="17">
        <v>29195788</v>
      </c>
    </row>
    <row r="19" spans="1:6">
      <c r="B19"/>
      <c r="C19" t="s">
        <v>1774</v>
      </c>
      <c r="D19" t="s">
        <v>73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219</v>
      </c>
      <c r="D20" t="s">
        <v>73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18</v>
      </c>
      <c r="D21" t="s">
        <v>73</v>
      </c>
      <c r="E21">
        <v>5</v>
      </c>
      <c r="F21" s="17">
        <v>29156413</v>
      </c>
    </row>
    <row r="22" spans="1:6">
      <c r="B22"/>
      <c r="C22" t="s">
        <v>1774</v>
      </c>
      <c r="D22" t="s">
        <v>73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219</v>
      </c>
      <c r="D23" t="s">
        <v>73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1064</v>
      </c>
      <c r="D24" t="s">
        <v>1100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18</v>
      </c>
      <c r="D25" t="s">
        <v>73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1604</v>
      </c>
      <c r="D26" t="s">
        <v>1775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219</v>
      </c>
      <c r="D27" t="s">
        <v>73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18</v>
      </c>
      <c r="D28" t="s">
        <v>73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219</v>
      </c>
      <c r="D29" t="s">
        <v>73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219</v>
      </c>
      <c r="D30" t="s">
        <v>73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1064</v>
      </c>
      <c r="D31" t="s">
        <v>1771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1064</v>
      </c>
      <c r="D32" t="s">
        <v>73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18</v>
      </c>
      <c r="D33" t="s">
        <v>1778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219</v>
      </c>
      <c r="D34" t="s">
        <v>1779</v>
      </c>
      <c r="E34">
        <v>2</v>
      </c>
      <c r="F34" s="17">
        <v>24424576</v>
      </c>
    </row>
    <row r="35" spans="1:6">
      <c r="A35" t="s">
        <v>148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4.4"/>
  <cols>
    <col min="1" max="1" width="19.77734375" customWidth="1"/>
    <col min="2" max="2" width="15.77734375" customWidth="1"/>
    <col min="3" max="3" width="31.77734375" bestFit="1" customWidth="1"/>
    <col min="4" max="4" width="27.21875" bestFit="1" customWidth="1"/>
    <col min="5" max="5" width="13.77734375" bestFit="1" customWidth="1"/>
    <col min="6" max="6" width="33.44140625" style="17" bestFit="1" customWidth="1"/>
    <col min="7" max="9" width="33.21875" bestFit="1" customWidth="1"/>
  </cols>
  <sheetData>
    <row r="2" spans="1:6">
      <c r="A2" s="262" t="s">
        <v>1156</v>
      </c>
      <c r="B2" t="s">
        <v>162</v>
      </c>
    </row>
    <row r="3" spans="1:6">
      <c r="A3" s="262" t="s">
        <v>1051</v>
      </c>
      <c r="B3" t="s">
        <v>1052</v>
      </c>
    </row>
    <row r="4" spans="1:6">
      <c r="A4" s="262" t="s">
        <v>1053</v>
      </c>
      <c r="B4" s="331">
        <v>2023</v>
      </c>
    </row>
    <row r="5" spans="1:6">
      <c r="A5" s="262" t="s">
        <v>1054</v>
      </c>
      <c r="B5" t="s">
        <v>1052</v>
      </c>
    </row>
    <row r="6" spans="1:6">
      <c r="A6" s="262" t="s">
        <v>1057</v>
      </c>
      <c r="B6" t="s">
        <v>162</v>
      </c>
      <c r="F6"/>
    </row>
    <row r="7" spans="1:6">
      <c r="F7"/>
    </row>
    <row r="8" spans="1:6">
      <c r="E8" s="262" t="s">
        <v>1055</v>
      </c>
    </row>
    <row r="9" spans="1:6">
      <c r="A9" s="262" t="s">
        <v>1056</v>
      </c>
      <c r="B9" s="262" t="s">
        <v>1058</v>
      </c>
      <c r="C9" s="262" t="s">
        <v>1059</v>
      </c>
      <c r="D9" s="262" t="s">
        <v>1157</v>
      </c>
      <c r="E9" t="s">
        <v>1060</v>
      </c>
      <c r="F9" s="17" t="s">
        <v>1061</v>
      </c>
    </row>
    <row r="10" spans="1:6">
      <c r="A10">
        <v>111222</v>
      </c>
      <c r="B10" t="s">
        <v>219</v>
      </c>
      <c r="C10" t="s">
        <v>1772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113</v>
      </c>
      <c r="C11" t="s">
        <v>1773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113</v>
      </c>
      <c r="C12" t="s">
        <v>112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219</v>
      </c>
      <c r="C13" t="s">
        <v>73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18</v>
      </c>
      <c r="C14" t="s">
        <v>73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113</v>
      </c>
      <c r="C15" t="s">
        <v>112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18</v>
      </c>
      <c r="C16" t="s">
        <v>73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219</v>
      </c>
      <c r="C17" t="s">
        <v>73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18</v>
      </c>
      <c r="C18" t="s">
        <v>1062</v>
      </c>
      <c r="D18" s="256">
        <v>45107</v>
      </c>
      <c r="E18">
        <v>4</v>
      </c>
      <c r="F18" s="17">
        <v>26536784</v>
      </c>
    </row>
    <row r="19" spans="1:6">
      <c r="B19" t="s">
        <v>219</v>
      </c>
      <c r="C19" t="s">
        <v>1062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18</v>
      </c>
      <c r="C20" t="s">
        <v>73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219</v>
      </c>
      <c r="C21" t="s">
        <v>73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18</v>
      </c>
      <c r="C22" t="s">
        <v>73</v>
      </c>
      <c r="D22" s="256">
        <v>45167</v>
      </c>
      <c r="E22">
        <v>5</v>
      </c>
      <c r="F22" s="17">
        <v>29195788</v>
      </c>
    </row>
    <row r="23" spans="1:6">
      <c r="B23" t="s">
        <v>1774</v>
      </c>
      <c r="C23" t="s">
        <v>73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219</v>
      </c>
      <c r="C24" t="s">
        <v>73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18</v>
      </c>
      <c r="C25" t="s">
        <v>73</v>
      </c>
      <c r="D25" s="256">
        <v>45198</v>
      </c>
      <c r="E25">
        <v>5</v>
      </c>
      <c r="F25" s="17">
        <v>29156413</v>
      </c>
    </row>
    <row r="26" spans="1:6">
      <c r="B26" t="s">
        <v>1774</v>
      </c>
      <c r="C26" t="s">
        <v>73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219</v>
      </c>
      <c r="C27" t="s">
        <v>73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1064</v>
      </c>
      <c r="C28" t="s">
        <v>1100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18</v>
      </c>
      <c r="C29" t="s">
        <v>73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1604</v>
      </c>
      <c r="C30" t="s">
        <v>1775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219</v>
      </c>
      <c r="C31" t="s">
        <v>73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18</v>
      </c>
      <c r="C32" t="s">
        <v>73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219</v>
      </c>
      <c r="C33" t="s">
        <v>73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219</v>
      </c>
      <c r="C34" t="s">
        <v>73</v>
      </c>
      <c r="D34" t="s">
        <v>1776</v>
      </c>
      <c r="E34">
        <v>1</v>
      </c>
      <c r="F34" s="17">
        <v>12298832</v>
      </c>
    </row>
    <row r="35" spans="1:6">
      <c r="A35">
        <v>111487</v>
      </c>
      <c r="B35" t="s">
        <v>1064</v>
      </c>
      <c r="C35" t="s">
        <v>1771</v>
      </c>
      <c r="D35" t="s">
        <v>1776</v>
      </c>
      <c r="E35">
        <v>1</v>
      </c>
      <c r="F35" s="17">
        <v>5910488</v>
      </c>
    </row>
    <row r="36" spans="1:6">
      <c r="A36">
        <v>111489</v>
      </c>
      <c r="B36" t="s">
        <v>1064</v>
      </c>
      <c r="C36" t="s">
        <v>73</v>
      </c>
      <c r="D36" t="s">
        <v>1777</v>
      </c>
      <c r="E36">
        <v>2</v>
      </c>
      <c r="F36" s="17">
        <v>11500954</v>
      </c>
    </row>
    <row r="37" spans="1:6">
      <c r="A37">
        <v>111501</v>
      </c>
      <c r="B37" t="s">
        <v>18</v>
      </c>
      <c r="C37" t="s">
        <v>1778</v>
      </c>
      <c r="D37" t="s">
        <v>1777</v>
      </c>
      <c r="E37">
        <v>2</v>
      </c>
      <c r="F37" s="17">
        <v>11319635</v>
      </c>
    </row>
    <row r="38" spans="1:6">
      <c r="A38">
        <v>111503</v>
      </c>
      <c r="B38" t="s">
        <v>219</v>
      </c>
      <c r="C38" t="s">
        <v>1779</v>
      </c>
      <c r="D38" t="s">
        <v>1780</v>
      </c>
      <c r="E38">
        <v>2</v>
      </c>
      <c r="F38" s="17">
        <v>24424576</v>
      </c>
    </row>
    <row r="39" spans="1:6">
      <c r="A39" t="s">
        <v>148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4.4"/>
  <cols>
    <col min="1" max="1" width="19.77734375" style="311" customWidth="1"/>
    <col min="2" max="2" width="15.77734375" customWidth="1"/>
    <col min="3" max="3" width="26.77734375" customWidth="1"/>
    <col min="4" max="4" width="12.77734375" style="256" bestFit="1" customWidth="1"/>
    <col min="5" max="5" width="13.77734375" bestFit="1" customWidth="1"/>
    <col min="6" max="6" width="33.44140625" style="17" bestFit="1" customWidth="1"/>
    <col min="7" max="7" width="33.44140625" bestFit="1" customWidth="1"/>
    <col min="8" max="9" width="33.21875" bestFit="1" customWidth="1"/>
  </cols>
  <sheetData>
    <row r="1" spans="1:6">
      <c r="A1" s="16" t="s">
        <v>1156</v>
      </c>
      <c r="B1" t="s">
        <v>162</v>
      </c>
    </row>
    <row r="2" spans="1:6">
      <c r="A2" s="16" t="s">
        <v>1051</v>
      </c>
      <c r="B2" t="s">
        <v>1052</v>
      </c>
    </row>
    <row r="3" spans="1:6">
      <c r="A3" s="16" t="s">
        <v>1053</v>
      </c>
      <c r="B3" s="331">
        <v>2022</v>
      </c>
    </row>
    <row r="4" spans="1:6">
      <c r="A4" s="16" t="s">
        <v>1054</v>
      </c>
      <c r="B4" t="s">
        <v>162</v>
      </c>
    </row>
    <row r="5" spans="1:6">
      <c r="A5" s="16" t="s">
        <v>1157</v>
      </c>
      <c r="B5" t="s">
        <v>1052</v>
      </c>
    </row>
    <row r="6" spans="1:6">
      <c r="A6"/>
      <c r="F6"/>
    </row>
    <row r="7" spans="1:6">
      <c r="C7" s="311"/>
      <c r="E7" s="16" t="s">
        <v>1055</v>
      </c>
    </row>
    <row r="8" spans="1:6">
      <c r="A8" s="16" t="s">
        <v>1058</v>
      </c>
      <c r="B8" s="262" t="s">
        <v>1056</v>
      </c>
      <c r="C8" s="16" t="s">
        <v>1059</v>
      </c>
      <c r="D8" s="323" t="s">
        <v>1057</v>
      </c>
      <c r="E8" t="s">
        <v>1060</v>
      </c>
      <c r="F8" s="17" t="s">
        <v>1061</v>
      </c>
    </row>
    <row r="9" spans="1:6">
      <c r="A9" t="s">
        <v>117</v>
      </c>
      <c r="B9">
        <v>110803</v>
      </c>
      <c r="C9" t="s">
        <v>1101</v>
      </c>
      <c r="D9" s="256">
        <v>44581</v>
      </c>
      <c r="E9">
        <v>6</v>
      </c>
      <c r="F9" s="17">
        <v>82439520</v>
      </c>
    </row>
    <row r="10" spans="1:6">
      <c r="A10" s="324" t="s">
        <v>1158</v>
      </c>
      <c r="B10" s="263"/>
      <c r="C10" s="324"/>
      <c r="D10" s="326"/>
      <c r="E10" s="263">
        <v>6</v>
      </c>
      <c r="F10" s="325">
        <v>82439520</v>
      </c>
    </row>
    <row r="11" spans="1:6">
      <c r="A11" t="s">
        <v>220</v>
      </c>
      <c r="B11">
        <v>110877</v>
      </c>
      <c r="C11" t="s">
        <v>1112</v>
      </c>
      <c r="D11" s="256">
        <v>44637</v>
      </c>
      <c r="E11">
        <v>1</v>
      </c>
      <c r="F11" s="17">
        <v>4700360</v>
      </c>
    </row>
    <row r="12" spans="1:6">
      <c r="A12" s="324" t="s">
        <v>1159</v>
      </c>
      <c r="B12" s="263"/>
      <c r="C12" s="324"/>
      <c r="D12" s="326"/>
      <c r="E12" s="263">
        <v>1</v>
      </c>
      <c r="F12" s="325">
        <v>4700360</v>
      </c>
    </row>
    <row r="13" spans="1:6">
      <c r="A13" t="s">
        <v>1064</v>
      </c>
      <c r="B13">
        <v>110666</v>
      </c>
      <c r="C13" t="s">
        <v>73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1100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1125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1066</v>
      </c>
      <c r="D16" s="256">
        <v>44782</v>
      </c>
      <c r="E16">
        <v>1</v>
      </c>
      <c r="F16" s="17">
        <v>8528445</v>
      </c>
    </row>
    <row r="17" spans="1:6">
      <c r="A17"/>
      <c r="B17" t="s">
        <v>1160</v>
      </c>
      <c r="C17" t="s">
        <v>1161</v>
      </c>
      <c r="D17" s="256">
        <v>44791</v>
      </c>
      <c r="E17">
        <v>2</v>
      </c>
      <c r="F17" s="17">
        <v>13860020</v>
      </c>
    </row>
    <row r="18" spans="1:6">
      <c r="A18" s="324" t="s">
        <v>1162</v>
      </c>
      <c r="B18" s="263"/>
      <c r="C18" s="324"/>
      <c r="D18" s="326"/>
      <c r="E18" s="263">
        <v>10</v>
      </c>
      <c r="F18" s="325">
        <v>82408726</v>
      </c>
    </row>
    <row r="19" spans="1:6">
      <c r="A19" t="s">
        <v>18</v>
      </c>
      <c r="B19">
        <v>110436</v>
      </c>
      <c r="C19" t="s">
        <v>73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1073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1075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1081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1082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1083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1084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1085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1086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1078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73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73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73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1090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1091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1092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1079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1093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1094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1095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1096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1080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1078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1098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73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136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136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1092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86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1096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1070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1104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1075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1102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1103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1086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1080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73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1109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1110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1111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1114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1116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136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73</v>
      </c>
      <c r="D63" s="256">
        <v>44179</v>
      </c>
      <c r="E63">
        <v>1</v>
      </c>
      <c r="F63" s="17">
        <v>5394765</v>
      </c>
    </row>
    <row r="64" spans="1:6">
      <c r="A64"/>
      <c r="B64" t="s">
        <v>1118</v>
      </c>
      <c r="C64" t="s">
        <v>136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1115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1113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1114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1078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1111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1121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1122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1120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1123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1124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80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80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1125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1125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1126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1071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1127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1132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1133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1134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1134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1135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1136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1145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1146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1147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1148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1149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1150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1151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1152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1153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1154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1155</v>
      </c>
      <c r="D98" s="256">
        <v>44721</v>
      </c>
      <c r="E98">
        <v>10</v>
      </c>
      <c r="F98" s="17">
        <v>75153525</v>
      </c>
    </row>
    <row r="99" spans="1:6">
      <c r="A99"/>
      <c r="B99" t="s">
        <v>1163</v>
      </c>
      <c r="C99" t="s">
        <v>1164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1070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1165</v>
      </c>
      <c r="C101" t="s">
        <v>1111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1166</v>
      </c>
      <c r="C102" t="s">
        <v>1167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1168</v>
      </c>
      <c r="C103" t="s">
        <v>1169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1063</v>
      </c>
      <c r="D104" s="256">
        <v>44791</v>
      </c>
      <c r="E104">
        <v>5</v>
      </c>
      <c r="F104" s="17">
        <v>30061465</v>
      </c>
    </row>
    <row r="105" spans="1:6">
      <c r="A105" s="324" t="s">
        <v>1170</v>
      </c>
      <c r="B105" s="263"/>
      <c r="C105" s="324"/>
      <c r="D105" s="326"/>
      <c r="E105" s="263">
        <v>189</v>
      </c>
      <c r="F105" s="325">
        <v>1521732150.5</v>
      </c>
    </row>
    <row r="106" spans="1:6">
      <c r="A106" t="s">
        <v>55</v>
      </c>
      <c r="B106">
        <v>110249</v>
      </c>
      <c r="C106" t="s">
        <v>73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1072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1073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1074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1075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1076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1077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1078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1079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1080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1085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1086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1078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73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73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73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1088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1089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1087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1080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1097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1099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1065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1066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73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1108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1105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1106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1107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236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1068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73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1112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1069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1113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1111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1115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1110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1117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1069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1119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1120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73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1125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1125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1128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1129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73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1115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1130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1126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1119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1114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1131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1137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1138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1139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1140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1141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1142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1143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1144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1171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1172</v>
      </c>
      <c r="C169" t="s">
        <v>1173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1174</v>
      </c>
      <c r="C170" t="s">
        <v>1167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1175</v>
      </c>
      <c r="C171" t="s">
        <v>1164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1176</v>
      </c>
      <c r="C172" t="s">
        <v>1111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1078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1121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1177</v>
      </c>
      <c r="D175" s="256">
        <v>44791</v>
      </c>
      <c r="E175">
        <v>2</v>
      </c>
      <c r="F175" s="17">
        <v>34084770</v>
      </c>
    </row>
    <row r="176" spans="1:6">
      <c r="A176" s="324" t="s">
        <v>1178</v>
      </c>
      <c r="B176" s="263"/>
      <c r="C176" s="324"/>
      <c r="D176" s="326"/>
      <c r="E176" s="263">
        <v>157</v>
      </c>
      <c r="F176" s="325">
        <v>1903046172.5</v>
      </c>
    </row>
    <row r="177" spans="1:6">
      <c r="A177" t="s">
        <v>237</v>
      </c>
      <c r="B177">
        <v>110630</v>
      </c>
      <c r="C177" t="s">
        <v>1067</v>
      </c>
      <c r="D177" s="256">
        <v>44455</v>
      </c>
      <c r="E177">
        <v>1</v>
      </c>
      <c r="F177" s="17">
        <v>17687520</v>
      </c>
    </row>
    <row r="178" spans="1:6">
      <c r="A178" s="324" t="s">
        <v>1179</v>
      </c>
      <c r="B178" s="263"/>
      <c r="C178" s="324"/>
      <c r="D178" s="326"/>
      <c r="E178" s="263">
        <v>1</v>
      </c>
      <c r="F178" s="325">
        <v>17687520</v>
      </c>
    </row>
    <row r="179" spans="1:6">
      <c r="A179" t="s">
        <v>148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4.4"/>
  <cols>
    <col min="1" max="1" width="15.77734375" customWidth="1"/>
    <col min="2" max="2" width="20.21875" customWidth="1"/>
    <col min="3" max="3" width="27.77734375" customWidth="1"/>
  </cols>
  <sheetData>
    <row r="3" spans="1:5">
      <c r="A3" s="16" t="s">
        <v>1180</v>
      </c>
    </row>
    <row r="4" spans="1:5">
      <c r="A4" s="16" t="s">
        <v>7</v>
      </c>
      <c r="B4" s="16" t="s">
        <v>10</v>
      </c>
      <c r="C4" s="16" t="s">
        <v>9</v>
      </c>
      <c r="D4" s="16" t="s">
        <v>11</v>
      </c>
      <c r="E4" t="s">
        <v>140</v>
      </c>
    </row>
    <row r="5" spans="1:5">
      <c r="A5" t="s">
        <v>15</v>
      </c>
      <c r="B5" t="s">
        <v>65</v>
      </c>
      <c r="C5" t="s">
        <v>64</v>
      </c>
      <c r="D5" t="s">
        <v>55</v>
      </c>
      <c r="E5">
        <v>2</v>
      </c>
    </row>
    <row r="6" spans="1:5">
      <c r="B6" t="s">
        <v>24</v>
      </c>
      <c r="C6" t="s">
        <v>23</v>
      </c>
      <c r="D6" t="s">
        <v>18</v>
      </c>
      <c r="E6">
        <v>1</v>
      </c>
    </row>
    <row r="7" spans="1:5">
      <c r="D7" t="s">
        <v>55</v>
      </c>
      <c r="E7">
        <v>2</v>
      </c>
    </row>
    <row r="8" spans="1:5">
      <c r="B8" t="s">
        <v>76</v>
      </c>
      <c r="C8" t="s">
        <v>75</v>
      </c>
      <c r="D8" t="s">
        <v>18</v>
      </c>
      <c r="E8">
        <v>1</v>
      </c>
    </row>
    <row r="9" spans="1:5">
      <c r="B9" t="s">
        <v>69</v>
      </c>
      <c r="C9" t="s">
        <v>68</v>
      </c>
      <c r="D9" t="s">
        <v>18</v>
      </c>
      <c r="E9">
        <v>1</v>
      </c>
    </row>
    <row r="10" spans="1:5">
      <c r="D10" t="s">
        <v>55</v>
      </c>
      <c r="E10">
        <v>1</v>
      </c>
    </row>
    <row r="11" spans="1:5">
      <c r="B11" t="s">
        <v>61</v>
      </c>
      <c r="C11" t="s">
        <v>60</v>
      </c>
      <c r="D11" t="s">
        <v>55</v>
      </c>
      <c r="E11">
        <v>1</v>
      </c>
    </row>
    <row r="12" spans="1:5">
      <c r="B12" t="s">
        <v>42</v>
      </c>
      <c r="C12" t="s">
        <v>41</v>
      </c>
      <c r="D12" t="s">
        <v>18</v>
      </c>
      <c r="E12">
        <v>2</v>
      </c>
    </row>
    <row r="13" spans="1:5">
      <c r="B13" t="s">
        <v>54</v>
      </c>
      <c r="C13" t="s">
        <v>53</v>
      </c>
      <c r="D13" t="s">
        <v>18</v>
      </c>
      <c r="E13">
        <v>2</v>
      </c>
    </row>
    <row r="14" spans="1:5">
      <c r="B14" t="s">
        <v>1181</v>
      </c>
      <c r="C14" t="s">
        <v>1182</v>
      </c>
      <c r="D14" t="s">
        <v>55</v>
      </c>
      <c r="E14">
        <v>1</v>
      </c>
    </row>
    <row r="15" spans="1:5">
      <c r="B15" t="s">
        <v>67</v>
      </c>
      <c r="C15" t="s">
        <v>66</v>
      </c>
      <c r="D15" t="s">
        <v>55</v>
      </c>
      <c r="E15">
        <v>2</v>
      </c>
    </row>
    <row r="16" spans="1:5">
      <c r="B16" t="s">
        <v>40</v>
      </c>
      <c r="C16" t="s">
        <v>39</v>
      </c>
      <c r="D16" t="s">
        <v>18</v>
      </c>
      <c r="E16">
        <v>1</v>
      </c>
    </row>
    <row r="17" spans="1:5">
      <c r="D17" t="s">
        <v>55</v>
      </c>
      <c r="E17">
        <v>2</v>
      </c>
    </row>
    <row r="18" spans="1:5">
      <c r="B18" t="s">
        <v>49</v>
      </c>
      <c r="C18" t="s">
        <v>48</v>
      </c>
      <c r="D18" t="s">
        <v>18</v>
      </c>
      <c r="E18">
        <v>3</v>
      </c>
    </row>
    <row r="19" spans="1:5">
      <c r="D19" t="s">
        <v>55</v>
      </c>
      <c r="E19">
        <v>7</v>
      </c>
    </row>
    <row r="20" spans="1:5">
      <c r="B20" t="s">
        <v>44</v>
      </c>
      <c r="C20" t="s">
        <v>43</v>
      </c>
      <c r="D20" t="s">
        <v>18</v>
      </c>
      <c r="E20">
        <v>3</v>
      </c>
    </row>
    <row r="21" spans="1:5">
      <c r="D21" t="s">
        <v>55</v>
      </c>
      <c r="E21">
        <v>3</v>
      </c>
    </row>
    <row r="22" spans="1:5">
      <c r="B22" t="s">
        <v>51</v>
      </c>
      <c r="C22" t="s">
        <v>50</v>
      </c>
      <c r="D22" t="s">
        <v>18</v>
      </c>
      <c r="E22">
        <v>3</v>
      </c>
    </row>
    <row r="23" spans="1:5">
      <c r="C23" t="s">
        <v>52</v>
      </c>
      <c r="D23" t="s">
        <v>18</v>
      </c>
      <c r="E23">
        <v>1</v>
      </c>
    </row>
    <row r="24" spans="1:5">
      <c r="B24" t="s">
        <v>131</v>
      </c>
      <c r="C24" t="s">
        <v>130</v>
      </c>
      <c r="D24" t="s">
        <v>55</v>
      </c>
      <c r="E24">
        <v>2</v>
      </c>
    </row>
    <row r="25" spans="1:5">
      <c r="B25" t="s">
        <v>1183</v>
      </c>
      <c r="C25" t="s">
        <v>1184</v>
      </c>
      <c r="D25" t="s">
        <v>55</v>
      </c>
      <c r="E25">
        <v>1</v>
      </c>
    </row>
    <row r="26" spans="1:5">
      <c r="A26" t="s">
        <v>222</v>
      </c>
      <c r="B26" t="s">
        <v>154</v>
      </c>
      <c r="C26" t="s">
        <v>1185</v>
      </c>
      <c r="D26" t="s">
        <v>55</v>
      </c>
      <c r="E26">
        <v>1</v>
      </c>
    </row>
    <row r="27" spans="1:5">
      <c r="B27" t="s">
        <v>31</v>
      </c>
      <c r="C27" t="s">
        <v>30</v>
      </c>
      <c r="D27" t="s">
        <v>18</v>
      </c>
      <c r="E27">
        <v>1</v>
      </c>
    </row>
    <row r="28" spans="1:5">
      <c r="B28" t="s">
        <v>1186</v>
      </c>
      <c r="C28" t="s">
        <v>1187</v>
      </c>
      <c r="D28" t="s">
        <v>18</v>
      </c>
      <c r="E28">
        <v>2</v>
      </c>
    </row>
    <row r="29" spans="1:5">
      <c r="B29" t="s">
        <v>1188</v>
      </c>
      <c r="C29" t="s">
        <v>1189</v>
      </c>
      <c r="D29" t="s">
        <v>55</v>
      </c>
      <c r="E29">
        <v>2</v>
      </c>
    </row>
    <row r="30" spans="1:5">
      <c r="B30" t="s">
        <v>1190</v>
      </c>
      <c r="C30" t="s">
        <v>1191</v>
      </c>
      <c r="D30" t="s">
        <v>18</v>
      </c>
      <c r="E30">
        <v>2</v>
      </c>
    </row>
    <row r="31" spans="1:5">
      <c r="B31" t="s">
        <v>1192</v>
      </c>
      <c r="C31" t="s">
        <v>1193</v>
      </c>
      <c r="D31" t="s">
        <v>18</v>
      </c>
      <c r="E31">
        <v>3</v>
      </c>
    </row>
    <row r="32" spans="1:5">
      <c r="B32" t="s">
        <v>1194</v>
      </c>
      <c r="C32" t="s">
        <v>1195</v>
      </c>
      <c r="D32" t="s">
        <v>18</v>
      </c>
      <c r="E32">
        <v>1</v>
      </c>
    </row>
    <row r="33" spans="2:5">
      <c r="D33" t="s">
        <v>55</v>
      </c>
      <c r="E33">
        <v>2</v>
      </c>
    </row>
    <row r="34" spans="2:5">
      <c r="B34" t="s">
        <v>139</v>
      </c>
      <c r="C34" t="s">
        <v>138</v>
      </c>
      <c r="D34" t="s">
        <v>137</v>
      </c>
      <c r="E34">
        <v>1</v>
      </c>
    </row>
    <row r="35" spans="2:5">
      <c r="B35" t="s">
        <v>127</v>
      </c>
      <c r="C35" t="s">
        <v>1196</v>
      </c>
      <c r="D35" t="s">
        <v>18</v>
      </c>
      <c r="E35">
        <v>1</v>
      </c>
    </row>
    <row r="36" spans="2:5">
      <c r="D36" t="s">
        <v>55</v>
      </c>
      <c r="E36">
        <v>1</v>
      </c>
    </row>
    <row r="37" spans="2:5">
      <c r="B37" t="s">
        <v>33</v>
      </c>
      <c r="C37" t="s">
        <v>32</v>
      </c>
      <c r="D37" t="s">
        <v>18</v>
      </c>
      <c r="E37">
        <v>1</v>
      </c>
    </row>
    <row r="38" spans="2:5">
      <c r="B38" t="s">
        <v>1197</v>
      </c>
      <c r="C38" t="s">
        <v>1198</v>
      </c>
      <c r="D38" t="s">
        <v>18</v>
      </c>
      <c r="E38">
        <v>1</v>
      </c>
    </row>
    <row r="39" spans="2:5">
      <c r="B39" t="s">
        <v>47</v>
      </c>
      <c r="C39" t="s">
        <v>1199</v>
      </c>
      <c r="D39" t="s">
        <v>18</v>
      </c>
      <c r="E39">
        <v>2</v>
      </c>
    </row>
    <row r="40" spans="2:5">
      <c r="B40" t="s">
        <v>1200</v>
      </c>
      <c r="C40" t="s">
        <v>1201</v>
      </c>
      <c r="D40" t="s">
        <v>55</v>
      </c>
      <c r="E40">
        <v>2</v>
      </c>
    </row>
    <row r="41" spans="2:5">
      <c r="B41" t="s">
        <v>57</v>
      </c>
      <c r="C41" t="s">
        <v>1202</v>
      </c>
      <c r="D41" t="s">
        <v>55</v>
      </c>
      <c r="E41">
        <v>1</v>
      </c>
    </row>
    <row r="42" spans="2:5">
      <c r="B42" t="s">
        <v>90</v>
      </c>
      <c r="C42" t="s">
        <v>1203</v>
      </c>
      <c r="D42" t="s">
        <v>18</v>
      </c>
      <c r="E42">
        <v>2</v>
      </c>
    </row>
    <row r="43" spans="2:5">
      <c r="D43" t="s">
        <v>55</v>
      </c>
      <c r="E43">
        <v>2</v>
      </c>
    </row>
    <row r="44" spans="2:5">
      <c r="C44" t="s">
        <v>1204</v>
      </c>
      <c r="D44" t="s">
        <v>18</v>
      </c>
      <c r="E44">
        <v>2</v>
      </c>
    </row>
    <row r="45" spans="2:5">
      <c r="D45" t="s">
        <v>55</v>
      </c>
      <c r="E45">
        <v>1</v>
      </c>
    </row>
    <row r="46" spans="2:5">
      <c r="B46" t="s">
        <v>1205</v>
      </c>
      <c r="C46" t="s">
        <v>1206</v>
      </c>
      <c r="D46" t="s">
        <v>113</v>
      </c>
      <c r="E46">
        <v>2</v>
      </c>
    </row>
    <row r="47" spans="2:5">
      <c r="B47" t="s">
        <v>1207</v>
      </c>
      <c r="C47" t="s">
        <v>1208</v>
      </c>
      <c r="D47" t="s">
        <v>55</v>
      </c>
      <c r="E47">
        <v>1</v>
      </c>
    </row>
    <row r="48" spans="2:5">
      <c r="B48" t="s">
        <v>1209</v>
      </c>
      <c r="C48" t="s">
        <v>1210</v>
      </c>
      <c r="D48" t="s">
        <v>18</v>
      </c>
      <c r="E48">
        <v>1</v>
      </c>
    </row>
    <row r="49" spans="1:5">
      <c r="D49" t="s">
        <v>55</v>
      </c>
      <c r="E49">
        <v>1</v>
      </c>
    </row>
    <row r="50" spans="1:5">
      <c r="B50" t="s">
        <v>40</v>
      </c>
      <c r="C50" t="s">
        <v>1211</v>
      </c>
      <c r="D50" t="s">
        <v>18</v>
      </c>
      <c r="E50">
        <v>1</v>
      </c>
    </row>
    <row r="51" spans="1:5">
      <c r="D51" t="s">
        <v>55</v>
      </c>
      <c r="E51">
        <v>1</v>
      </c>
    </row>
    <row r="52" spans="1:5">
      <c r="B52" t="s">
        <v>1212</v>
      </c>
      <c r="C52" t="s">
        <v>1213</v>
      </c>
      <c r="D52" t="s">
        <v>18</v>
      </c>
      <c r="E52">
        <v>1</v>
      </c>
    </row>
    <row r="53" spans="1:5">
      <c r="D53" t="s">
        <v>55</v>
      </c>
      <c r="E53">
        <v>1</v>
      </c>
    </row>
    <row r="54" spans="1:5">
      <c r="B54" t="s">
        <v>1214</v>
      </c>
      <c r="C54" t="s">
        <v>1215</v>
      </c>
      <c r="D54" t="s">
        <v>188</v>
      </c>
      <c r="E54">
        <v>1</v>
      </c>
    </row>
    <row r="55" spans="1:5">
      <c r="D55" t="s">
        <v>55</v>
      </c>
      <c r="E55">
        <v>1</v>
      </c>
    </row>
    <row r="56" spans="1:5">
      <c r="B56" t="s">
        <v>44</v>
      </c>
      <c r="C56" t="s">
        <v>43</v>
      </c>
      <c r="D56" t="s">
        <v>18</v>
      </c>
      <c r="E56">
        <v>1</v>
      </c>
    </row>
    <row r="57" spans="1:5">
      <c r="D57" t="s">
        <v>55</v>
      </c>
      <c r="E57">
        <v>1</v>
      </c>
    </row>
    <row r="58" spans="1:5">
      <c r="B58" t="s">
        <v>63</v>
      </c>
      <c r="C58" t="s">
        <v>62</v>
      </c>
      <c r="D58" t="s">
        <v>18</v>
      </c>
      <c r="E58">
        <v>2</v>
      </c>
    </row>
    <row r="59" spans="1:5">
      <c r="D59" t="s">
        <v>55</v>
      </c>
      <c r="E59">
        <v>2</v>
      </c>
    </row>
    <row r="60" spans="1:5">
      <c r="B60" t="s">
        <v>141</v>
      </c>
      <c r="C60" t="s">
        <v>141</v>
      </c>
      <c r="D60" t="s">
        <v>141</v>
      </c>
      <c r="E60">
        <v>1</v>
      </c>
    </row>
    <row r="61" spans="1:5">
      <c r="A61" t="s">
        <v>29</v>
      </c>
      <c r="B61" t="s">
        <v>24</v>
      </c>
      <c r="C61" t="s">
        <v>23</v>
      </c>
      <c r="D61" t="s">
        <v>18</v>
      </c>
      <c r="E61">
        <v>1</v>
      </c>
    </row>
    <row r="62" spans="1:5">
      <c r="B62" t="s">
        <v>38</v>
      </c>
      <c r="C62" t="s">
        <v>37</v>
      </c>
      <c r="D62" t="s">
        <v>18</v>
      </c>
      <c r="E62">
        <v>4</v>
      </c>
    </row>
    <row r="63" spans="1:5">
      <c r="B63" t="s">
        <v>1216</v>
      </c>
      <c r="C63" t="s">
        <v>1217</v>
      </c>
      <c r="D63" t="s">
        <v>18</v>
      </c>
      <c r="E63">
        <v>1</v>
      </c>
    </row>
    <row r="64" spans="1:5">
      <c r="B64" t="s">
        <v>59</v>
      </c>
      <c r="C64" t="s">
        <v>58</v>
      </c>
      <c r="D64" t="s">
        <v>18</v>
      </c>
      <c r="E64">
        <v>2</v>
      </c>
    </row>
    <row r="65" spans="1:5">
      <c r="D65" t="s">
        <v>55</v>
      </c>
      <c r="E65">
        <v>2</v>
      </c>
    </row>
    <row r="66" spans="1:5">
      <c r="B66" t="s">
        <v>79</v>
      </c>
      <c r="C66" t="s">
        <v>78</v>
      </c>
      <c r="D66" t="s">
        <v>18</v>
      </c>
      <c r="E66">
        <v>2</v>
      </c>
    </row>
    <row r="67" spans="1:5">
      <c r="D67" t="s">
        <v>55</v>
      </c>
      <c r="E67">
        <v>2</v>
      </c>
    </row>
    <row r="68" spans="1:5">
      <c r="B68" t="s">
        <v>47</v>
      </c>
      <c r="C68" t="s">
        <v>46</v>
      </c>
      <c r="D68" t="s">
        <v>18</v>
      </c>
      <c r="E68">
        <v>7</v>
      </c>
    </row>
    <row r="69" spans="1:5">
      <c r="D69" t="s">
        <v>55</v>
      </c>
      <c r="E69">
        <v>3</v>
      </c>
    </row>
    <row r="70" spans="1:5">
      <c r="B70" t="s">
        <v>135</v>
      </c>
      <c r="C70" t="s">
        <v>134</v>
      </c>
      <c r="D70" t="s">
        <v>55</v>
      </c>
      <c r="E70">
        <v>1</v>
      </c>
    </row>
    <row r="71" spans="1:5">
      <c r="B71" t="s">
        <v>57</v>
      </c>
      <c r="C71" t="s">
        <v>56</v>
      </c>
      <c r="D71" t="s">
        <v>18</v>
      </c>
      <c r="E71">
        <v>2</v>
      </c>
    </row>
    <row r="72" spans="1:5">
      <c r="D72" t="s">
        <v>55</v>
      </c>
      <c r="E72">
        <v>2</v>
      </c>
    </row>
    <row r="73" spans="1:5">
      <c r="B73" t="s">
        <v>90</v>
      </c>
      <c r="C73" t="s">
        <v>1218</v>
      </c>
      <c r="D73" t="s">
        <v>55</v>
      </c>
      <c r="E73">
        <v>1</v>
      </c>
    </row>
    <row r="74" spans="1:5">
      <c r="B74" t="s">
        <v>1219</v>
      </c>
      <c r="C74" t="s">
        <v>1220</v>
      </c>
      <c r="D74" t="s">
        <v>55</v>
      </c>
      <c r="E74">
        <v>1</v>
      </c>
    </row>
    <row r="75" spans="1:5">
      <c r="B75" t="s">
        <v>71</v>
      </c>
      <c r="C75" t="s">
        <v>70</v>
      </c>
      <c r="D75" t="s">
        <v>55</v>
      </c>
      <c r="E75">
        <v>1</v>
      </c>
    </row>
    <row r="76" spans="1:5">
      <c r="B76" t="s">
        <v>49</v>
      </c>
      <c r="C76" t="s">
        <v>48</v>
      </c>
      <c r="D76" t="s">
        <v>18</v>
      </c>
      <c r="E76">
        <v>2</v>
      </c>
    </row>
    <row r="77" spans="1:5">
      <c r="D77" t="s">
        <v>55</v>
      </c>
      <c r="E77">
        <v>3</v>
      </c>
    </row>
    <row r="78" spans="1:5">
      <c r="B78" t="s">
        <v>153</v>
      </c>
      <c r="C78" t="s">
        <v>1221</v>
      </c>
      <c r="D78" t="s">
        <v>18</v>
      </c>
      <c r="E78">
        <v>1</v>
      </c>
    </row>
    <row r="79" spans="1:5">
      <c r="B79" t="s">
        <v>110</v>
      </c>
      <c r="C79" t="s">
        <v>109</v>
      </c>
      <c r="D79" t="s">
        <v>18</v>
      </c>
      <c r="E79">
        <v>2</v>
      </c>
    </row>
    <row r="80" spans="1:5">
      <c r="A80" t="s">
        <v>148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defaultColWidth="9" defaultRowHeight="14.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1"/>
  <sheetViews>
    <sheetView topLeftCell="A2" workbookViewId="0">
      <selection activeCell="D40" sqref="D40"/>
    </sheetView>
  </sheetViews>
  <sheetFormatPr defaultColWidth="9" defaultRowHeight="14.4"/>
  <cols>
    <col min="1" max="1" width="14.21875" style="1" customWidth="1"/>
    <col min="2" max="2" width="22.77734375" style="49" customWidth="1"/>
    <col min="3" max="3" width="17.77734375" style="15" customWidth="1"/>
    <col min="4" max="4" width="40.21875" style="1" customWidth="1"/>
    <col min="5" max="5" width="19.21875" style="418" customWidth="1"/>
    <col min="6" max="6" width="14.77734375" style="1" customWidth="1"/>
    <col min="7" max="7" width="9" style="1"/>
    <col min="8" max="8" width="9.77734375" style="1" customWidth="1"/>
    <col min="9" max="9" width="9" style="1"/>
    <col min="10" max="10" width="15.21875" style="1" customWidth="1"/>
    <col min="11" max="16384" width="9" style="1"/>
  </cols>
  <sheetData>
    <row r="1" spans="1:10">
      <c r="A1" s="2" t="s">
        <v>1222</v>
      </c>
      <c r="B1" s="97" t="s">
        <v>166</v>
      </c>
      <c r="C1" s="2" t="s">
        <v>203</v>
      </c>
      <c r="D1" s="2" t="s">
        <v>204</v>
      </c>
      <c r="E1" s="417" t="s">
        <v>196</v>
      </c>
      <c r="F1" s="2" t="s">
        <v>245</v>
      </c>
      <c r="G1" s="2" t="s">
        <v>370</v>
      </c>
      <c r="H1" s="437" t="s">
        <v>1626</v>
      </c>
      <c r="I1" s="437" t="s">
        <v>1631</v>
      </c>
      <c r="J1" s="437" t="s">
        <v>1638</v>
      </c>
    </row>
    <row r="2" spans="1:10">
      <c r="A2" s="1" t="s">
        <v>1223</v>
      </c>
      <c r="B2" s="49" t="s">
        <v>216</v>
      </c>
      <c r="C2" s="15" t="s">
        <v>1224</v>
      </c>
      <c r="D2" s="1" t="s">
        <v>1225</v>
      </c>
      <c r="E2" s="418" t="s">
        <v>1564</v>
      </c>
      <c r="G2" s="1" t="s">
        <v>212</v>
      </c>
      <c r="H2" s="1" t="s">
        <v>1628</v>
      </c>
      <c r="I2" s="1" t="s">
        <v>1634</v>
      </c>
      <c r="J2" s="1" t="s">
        <v>1636</v>
      </c>
    </row>
    <row r="3" spans="1:10">
      <c r="A3" s="3" t="s">
        <v>238</v>
      </c>
      <c r="B3" s="49" t="s">
        <v>172</v>
      </c>
      <c r="C3" s="15" t="s">
        <v>1226</v>
      </c>
      <c r="D3" s="1" t="s">
        <v>215</v>
      </c>
      <c r="E3" s="418" t="s">
        <v>1565</v>
      </c>
      <c r="G3" s="1" t="s">
        <v>1623</v>
      </c>
      <c r="H3" s="1" t="s">
        <v>1630</v>
      </c>
      <c r="I3" s="1" t="s">
        <v>1633</v>
      </c>
      <c r="J3" s="1" t="s">
        <v>1639</v>
      </c>
    </row>
    <row r="4" spans="1:10" ht="13.5" customHeight="1">
      <c r="A4" s="13" t="s">
        <v>1704</v>
      </c>
      <c r="B4" s="49" t="s">
        <v>1227</v>
      </c>
      <c r="C4" s="15" t="s">
        <v>1228</v>
      </c>
      <c r="D4" s="1" t="s">
        <v>1229</v>
      </c>
      <c r="E4" s="418" t="s">
        <v>1566</v>
      </c>
      <c r="G4" s="1" t="s">
        <v>1624</v>
      </c>
      <c r="H4" s="438" t="s">
        <v>1636</v>
      </c>
      <c r="J4" s="1" t="s">
        <v>1640</v>
      </c>
    </row>
    <row r="5" spans="1:10">
      <c r="A5" s="13" t="s">
        <v>1605</v>
      </c>
      <c r="B5" s="49">
        <v>305</v>
      </c>
      <c r="C5" s="15" t="s">
        <v>1470</v>
      </c>
      <c r="D5" s="1" t="s">
        <v>1231</v>
      </c>
      <c r="E5" s="418" t="s">
        <v>189</v>
      </c>
      <c r="F5" s="1" t="s">
        <v>1620</v>
      </c>
      <c r="G5" s="1" t="s">
        <v>1625</v>
      </c>
      <c r="H5" s="438" t="s">
        <v>1654</v>
      </c>
    </row>
    <row r="6" spans="1:10">
      <c r="A6" s="13" t="s">
        <v>1606</v>
      </c>
      <c r="B6" s="49" t="s">
        <v>174</v>
      </c>
      <c r="C6" s="15" t="s">
        <v>1471</v>
      </c>
      <c r="D6" s="1" t="s">
        <v>1729</v>
      </c>
      <c r="E6" s="418" t="s">
        <v>1567</v>
      </c>
      <c r="G6" s="1" t="s">
        <v>1473</v>
      </c>
    </row>
    <row r="7" spans="1:10">
      <c r="A7" s="13" t="s">
        <v>1607</v>
      </c>
      <c r="B7" s="49">
        <v>310</v>
      </c>
      <c r="D7" s="1" t="s">
        <v>1234</v>
      </c>
      <c r="E7" s="418" t="s">
        <v>1568</v>
      </c>
      <c r="F7" s="1" t="s">
        <v>1621</v>
      </c>
      <c r="G7" s="1" t="s">
        <v>1825</v>
      </c>
    </row>
    <row r="8" spans="1:10">
      <c r="A8" s="13" t="s">
        <v>1608</v>
      </c>
      <c r="B8" s="49" t="s">
        <v>285</v>
      </c>
      <c r="D8" s="1" t="s">
        <v>217</v>
      </c>
      <c r="E8" s="418" t="s">
        <v>1569</v>
      </c>
      <c r="F8" s="1" t="s">
        <v>1236</v>
      </c>
    </row>
    <row r="9" spans="1:10">
      <c r="A9" s="13" t="s">
        <v>1609</v>
      </c>
      <c r="B9" s="49" t="s">
        <v>326</v>
      </c>
      <c r="D9" s="1" t="s">
        <v>240</v>
      </c>
      <c r="E9" s="418" t="s">
        <v>314</v>
      </c>
      <c r="F9" s="1" t="s">
        <v>1238</v>
      </c>
    </row>
    <row r="10" spans="1:10">
      <c r="A10" s="13" t="s">
        <v>1610</v>
      </c>
      <c r="B10" s="49" t="s">
        <v>294</v>
      </c>
      <c r="D10" s="1" t="s">
        <v>221</v>
      </c>
      <c r="E10" s="418" t="s">
        <v>1570</v>
      </c>
      <c r="F10" s="1" t="s">
        <v>1240</v>
      </c>
    </row>
    <row r="11" spans="1:10">
      <c r="A11" s="13" t="s">
        <v>1611</v>
      </c>
      <c r="B11" s="49" t="s">
        <v>329</v>
      </c>
      <c r="D11" s="1" t="s">
        <v>1242</v>
      </c>
      <c r="E11" s="418" t="s">
        <v>1243</v>
      </c>
      <c r="F11" s="1" t="s">
        <v>1244</v>
      </c>
    </row>
    <row r="12" spans="1:10">
      <c r="A12" s="13" t="s">
        <v>1612</v>
      </c>
      <c r="B12" s="49" t="s">
        <v>331</v>
      </c>
      <c r="D12" s="1" t="s">
        <v>1246</v>
      </c>
      <c r="E12" s="418" t="s">
        <v>1571</v>
      </c>
      <c r="F12" s="1" t="s">
        <v>1247</v>
      </c>
    </row>
    <row r="13" spans="1:10">
      <c r="A13" s="13" t="s">
        <v>1248</v>
      </c>
      <c r="B13" s="49" t="s">
        <v>333</v>
      </c>
      <c r="D13" s="1" t="s">
        <v>1249</v>
      </c>
      <c r="E13" s="418" t="s">
        <v>1579</v>
      </c>
      <c r="F13" s="1" t="s">
        <v>1250</v>
      </c>
    </row>
    <row r="14" spans="1:10">
      <c r="A14" s="13" t="s">
        <v>1251</v>
      </c>
      <c r="B14" s="49" t="s">
        <v>335</v>
      </c>
      <c r="D14" s="1" t="s">
        <v>1252</v>
      </c>
      <c r="E14" s="418" t="s">
        <v>1578</v>
      </c>
      <c r="F14" s="1" t="s">
        <v>1253</v>
      </c>
    </row>
    <row r="15" spans="1:10">
      <c r="A15" s="13" t="s">
        <v>1394</v>
      </c>
      <c r="B15" s="49" t="s">
        <v>363</v>
      </c>
      <c r="D15" s="1" t="s">
        <v>1254</v>
      </c>
      <c r="E15" s="418" t="s">
        <v>1572</v>
      </c>
      <c r="F15" s="1" t="s">
        <v>1255</v>
      </c>
    </row>
    <row r="16" spans="1:10">
      <c r="A16" s="13" t="s">
        <v>1395</v>
      </c>
      <c r="B16" s="49" t="s">
        <v>364</v>
      </c>
      <c r="D16" s="1" t="s">
        <v>1256</v>
      </c>
      <c r="E16" s="418" t="s">
        <v>1573</v>
      </c>
      <c r="F16" s="1" t="s">
        <v>1257</v>
      </c>
    </row>
    <row r="17" spans="1:6">
      <c r="A17" s="1" t="s">
        <v>1258</v>
      </c>
      <c r="B17" s="49" t="s">
        <v>341</v>
      </c>
      <c r="D17" s="1" t="s">
        <v>235</v>
      </c>
      <c r="E17" s="418" t="s">
        <v>1259</v>
      </c>
      <c r="F17" s="1" t="s">
        <v>1260</v>
      </c>
    </row>
    <row r="18" spans="1:6">
      <c r="A18" s="385" t="s">
        <v>1476</v>
      </c>
      <c r="B18" s="49" t="s">
        <v>343</v>
      </c>
      <c r="D18" s="1" t="s">
        <v>1261</v>
      </c>
      <c r="E18" s="418" t="s">
        <v>1574</v>
      </c>
      <c r="F18" s="1" t="s">
        <v>1262</v>
      </c>
    </row>
    <row r="19" spans="1:6">
      <c r="B19" s="49" t="s">
        <v>345</v>
      </c>
      <c r="D19" s="1" t="s">
        <v>1263</v>
      </c>
      <c r="E19" s="418" t="s">
        <v>1580</v>
      </c>
      <c r="F19" s="1" t="s">
        <v>1264</v>
      </c>
    </row>
    <row r="20" spans="1:6">
      <c r="B20" s="49" t="s">
        <v>347</v>
      </c>
      <c r="D20" s="1" t="s">
        <v>242</v>
      </c>
      <c r="E20" s="418" t="s">
        <v>1265</v>
      </c>
      <c r="F20" s="1" t="s">
        <v>1266</v>
      </c>
    </row>
    <row r="21" spans="1:6">
      <c r="B21" s="49" t="s">
        <v>349</v>
      </c>
      <c r="D21" s="1" t="s">
        <v>1267</v>
      </c>
      <c r="E21" s="418" t="s">
        <v>1581</v>
      </c>
      <c r="F21" s="1" t="s">
        <v>1268</v>
      </c>
    </row>
    <row r="22" spans="1:6">
      <c r="B22" s="49" t="s">
        <v>351</v>
      </c>
      <c r="D22" s="1" t="s">
        <v>1269</v>
      </c>
      <c r="E22" s="418" t="s">
        <v>1575</v>
      </c>
      <c r="F22" s="1" t="s">
        <v>1270</v>
      </c>
    </row>
    <row r="23" spans="1:6">
      <c r="A23" s="13"/>
      <c r="B23" s="49" t="s">
        <v>1601</v>
      </c>
      <c r="D23" s="1" t="s">
        <v>229</v>
      </c>
      <c r="E23" s="418" t="s">
        <v>1582</v>
      </c>
    </row>
    <row r="24" spans="1:6">
      <c r="B24" s="49" t="s">
        <v>1272</v>
      </c>
      <c r="D24" s="1" t="s">
        <v>234</v>
      </c>
      <c r="E24" s="418" t="s">
        <v>1583</v>
      </c>
    </row>
    <row r="25" spans="1:6">
      <c r="B25" s="49" t="s">
        <v>1273</v>
      </c>
      <c r="D25" s="1" t="s">
        <v>1274</v>
      </c>
      <c r="E25" s="418" t="s">
        <v>1275</v>
      </c>
    </row>
    <row r="26" spans="1:6">
      <c r="B26" s="49" t="s">
        <v>1276</v>
      </c>
      <c r="D26" s="1" t="s">
        <v>1277</v>
      </c>
      <c r="E26" s="418" t="s">
        <v>1278</v>
      </c>
    </row>
    <row r="27" spans="1:6">
      <c r="B27" s="49" t="s">
        <v>1279</v>
      </c>
      <c r="D27" s="1" t="s">
        <v>1280</v>
      </c>
      <c r="E27" s="418" t="s">
        <v>1576</v>
      </c>
    </row>
    <row r="28" spans="1:6">
      <c r="B28" s="49" t="s">
        <v>1281</v>
      </c>
      <c r="D28" s="1" t="s">
        <v>1282</v>
      </c>
      <c r="E28" s="418" t="s">
        <v>1577</v>
      </c>
    </row>
    <row r="29" spans="1:6">
      <c r="B29" s="49">
        <v>302</v>
      </c>
      <c r="D29" s="1" t="s">
        <v>1283</v>
      </c>
      <c r="E29" s="418" t="s">
        <v>1284</v>
      </c>
      <c r="F29" s="1" t="s">
        <v>1615</v>
      </c>
    </row>
    <row r="30" spans="1:6">
      <c r="B30" s="49">
        <v>301</v>
      </c>
      <c r="D30" s="1" t="s">
        <v>1285</v>
      </c>
      <c r="E30" s="418" t="s">
        <v>1286</v>
      </c>
      <c r="F30" s="1" t="s">
        <v>1618</v>
      </c>
    </row>
    <row r="31" spans="1:6">
      <c r="B31" s="49">
        <v>303</v>
      </c>
      <c r="D31" s="1" t="s">
        <v>1287</v>
      </c>
      <c r="E31" s="418" t="s">
        <v>1388</v>
      </c>
      <c r="F31" s="1" t="s">
        <v>1617</v>
      </c>
    </row>
    <row r="32" spans="1:6">
      <c r="B32" s="49">
        <v>312</v>
      </c>
      <c r="D32" s="1" t="s">
        <v>1288</v>
      </c>
      <c r="E32" s="418" t="s">
        <v>1389</v>
      </c>
      <c r="F32" s="1" t="s">
        <v>1616</v>
      </c>
    </row>
    <row r="33" spans="1:6">
      <c r="B33" s="49">
        <v>311</v>
      </c>
      <c r="D33" s="1" t="s">
        <v>1289</v>
      </c>
      <c r="E33" s="418" t="s">
        <v>1393</v>
      </c>
      <c r="F33" s="1" t="s">
        <v>1613</v>
      </c>
    </row>
    <row r="34" spans="1:6">
      <c r="B34" s="49" t="s">
        <v>218</v>
      </c>
      <c r="D34" s="1" t="s">
        <v>1290</v>
      </c>
      <c r="E34" s="419" t="s">
        <v>1230</v>
      </c>
    </row>
    <row r="35" spans="1:6">
      <c r="B35" s="49">
        <v>304</v>
      </c>
      <c r="D35" s="1" t="s">
        <v>1291</v>
      </c>
      <c r="E35" s="419" t="s">
        <v>1232</v>
      </c>
      <c r="F35" s="1" t="s">
        <v>1619</v>
      </c>
    </row>
    <row r="36" spans="1:6">
      <c r="B36" s="49" t="s">
        <v>1292</v>
      </c>
      <c r="D36" s="1" t="s">
        <v>1480</v>
      </c>
      <c r="E36" s="419" t="s">
        <v>1233</v>
      </c>
    </row>
    <row r="37" spans="1:6">
      <c r="B37" s="49">
        <v>313</v>
      </c>
      <c r="D37" s="1" t="s">
        <v>1544</v>
      </c>
      <c r="E37" s="419" t="s">
        <v>1235</v>
      </c>
      <c r="F37" s="1" t="s">
        <v>1614</v>
      </c>
    </row>
    <row r="38" spans="1:6">
      <c r="B38" s="49" t="s">
        <v>1293</v>
      </c>
      <c r="D38" s="1" t="s">
        <v>1850</v>
      </c>
      <c r="E38" s="419" t="s">
        <v>1237</v>
      </c>
    </row>
    <row r="39" spans="1:6">
      <c r="B39" s="49">
        <v>306</v>
      </c>
      <c r="E39" s="419" t="s">
        <v>1239</v>
      </c>
      <c r="F39" s="1" t="s">
        <v>1622</v>
      </c>
    </row>
    <row r="40" spans="1:6">
      <c r="B40" s="49" t="s">
        <v>223</v>
      </c>
      <c r="E40" s="419" t="s">
        <v>1241</v>
      </c>
    </row>
    <row r="41" spans="1:6">
      <c r="B41" s="49" t="s">
        <v>1588</v>
      </c>
      <c r="E41" s="419" t="s">
        <v>1245</v>
      </c>
      <c r="F41" s="1" t="s">
        <v>1587</v>
      </c>
    </row>
    <row r="42" spans="1:6">
      <c r="A42" s="13"/>
      <c r="B42" s="49" t="s">
        <v>231</v>
      </c>
      <c r="E42" s="419" t="s">
        <v>1248</v>
      </c>
    </row>
    <row r="43" spans="1:6">
      <c r="A43" s="13"/>
      <c r="B43" s="49" t="s">
        <v>1294</v>
      </c>
      <c r="E43" s="419" t="s">
        <v>1251</v>
      </c>
    </row>
    <row r="44" spans="1:6">
      <c r="A44" s="13"/>
      <c r="B44" s="49" t="s">
        <v>1295</v>
      </c>
      <c r="E44" s="419" t="s">
        <v>1394</v>
      </c>
    </row>
    <row r="45" spans="1:6">
      <c r="A45" s="13"/>
      <c r="B45" s="49">
        <v>307</v>
      </c>
      <c r="E45" s="419" t="s">
        <v>1395</v>
      </c>
    </row>
    <row r="46" spans="1:6">
      <c r="A46" s="13"/>
      <c r="B46" s="49" t="s">
        <v>1271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1296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1297</v>
      </c>
    </row>
    <row r="55" spans="1:2">
      <c r="B55" s="49" t="s">
        <v>1298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1641</v>
      </c>
    </row>
    <row r="59" spans="1:2">
      <c r="B59" s="49">
        <v>8151</v>
      </c>
    </row>
    <row r="60" spans="1:2">
      <c r="B60" s="49" t="s">
        <v>1299</v>
      </c>
    </row>
    <row r="61" spans="1:2">
      <c r="B61" s="313" t="s">
        <v>311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7734375" defaultRowHeight="13.8"/>
  <cols>
    <col min="1" max="1" width="12.21875" style="275" customWidth="1"/>
    <col min="2" max="2" width="14.77734375" style="275" customWidth="1"/>
    <col min="3" max="3" width="21.21875" style="275" customWidth="1"/>
    <col min="4" max="4" width="19" style="275" customWidth="1"/>
    <col min="5" max="5" width="8.77734375" style="276"/>
    <col min="6" max="6" width="18.77734375" style="275" customWidth="1"/>
    <col min="7" max="7" width="8.77734375" style="275"/>
    <col min="8" max="8" width="19.77734375" style="275" customWidth="1"/>
    <col min="9" max="10" width="8.77734375" style="275"/>
    <col min="11" max="11" width="22.77734375" style="275" bestFit="1" customWidth="1"/>
    <col min="12" max="12" width="13.21875" style="276" bestFit="1" customWidth="1"/>
    <col min="13" max="16" width="9.77734375" style="275" bestFit="1" customWidth="1"/>
    <col min="17" max="17" width="8.21875" style="275" bestFit="1" customWidth="1"/>
    <col min="18" max="18" width="13.21875" style="275" bestFit="1" customWidth="1"/>
    <col min="19" max="21" width="9.77734375" style="275" bestFit="1" customWidth="1"/>
    <col min="22" max="22" width="8.21875" style="275" bestFit="1" customWidth="1"/>
    <col min="23" max="23" width="6.21875" style="275" bestFit="1" customWidth="1"/>
    <col min="24" max="24" width="6.77734375" style="275" bestFit="1" customWidth="1"/>
    <col min="25" max="25" width="10.77734375" style="275" bestFit="1" customWidth="1"/>
    <col min="26" max="27" width="8.21875" style="275" bestFit="1" customWidth="1"/>
    <col min="28" max="28" width="10.77734375" style="275" bestFit="1" customWidth="1"/>
    <col min="29" max="30" width="8.21875" style="275" bestFit="1" customWidth="1"/>
    <col min="31" max="31" width="12.77734375" style="275" bestFit="1" customWidth="1"/>
    <col min="32" max="32" width="10.77734375" style="275" bestFit="1" customWidth="1"/>
    <col min="33" max="33" width="6.21875" style="275" bestFit="1" customWidth="1"/>
    <col min="34" max="34" width="8.21875" style="275" bestFit="1" customWidth="1"/>
    <col min="35" max="35" width="10.77734375" style="275" bestFit="1" customWidth="1"/>
    <col min="36" max="36" width="6.21875" style="275" bestFit="1" customWidth="1"/>
    <col min="37" max="38" width="10.77734375" style="275" bestFit="1" customWidth="1"/>
    <col min="39" max="39" width="6.21875" style="275" bestFit="1" customWidth="1"/>
    <col min="40" max="40" width="10.77734375" style="275" bestFit="1" customWidth="1"/>
    <col min="41" max="42" width="8.21875" style="275" bestFit="1" customWidth="1"/>
    <col min="43" max="44" width="6.21875" style="275" bestFit="1" customWidth="1"/>
    <col min="45" max="45" width="8.21875" style="275" bestFit="1" customWidth="1"/>
    <col min="46" max="46" width="6.21875" style="275" bestFit="1" customWidth="1"/>
    <col min="47" max="50" width="8.21875" style="275" bestFit="1" customWidth="1"/>
    <col min="51" max="51" width="6.21875" style="275" bestFit="1" customWidth="1"/>
    <col min="52" max="52" width="6.77734375" style="275" bestFit="1" customWidth="1"/>
    <col min="53" max="16384" width="8.77734375" style="275"/>
  </cols>
  <sheetData>
    <row r="1" spans="1:52" ht="22.8">
      <c r="A1" s="272" t="s">
        <v>166</v>
      </c>
      <c r="B1" s="272" t="s">
        <v>250</v>
      </c>
      <c r="C1" s="272" t="s">
        <v>251</v>
      </c>
      <c r="D1" s="273" t="s">
        <v>201</v>
      </c>
      <c r="E1" s="274" t="s">
        <v>1300</v>
      </c>
      <c r="F1" s="274" t="s">
        <v>1301</v>
      </c>
    </row>
    <row r="2" spans="1:52">
      <c r="A2" s="159" t="s">
        <v>261</v>
      </c>
      <c r="B2" s="139" t="s">
        <v>96</v>
      </c>
      <c r="C2" s="139" t="s">
        <v>95</v>
      </c>
      <c r="D2" s="51" t="s">
        <v>22</v>
      </c>
      <c r="E2" s="132">
        <v>20</v>
      </c>
      <c r="F2" s="145" t="s">
        <v>82</v>
      </c>
      <c r="H2" s="260"/>
      <c r="I2" s="260"/>
    </row>
    <row r="3" spans="1:52">
      <c r="A3" s="159" t="s">
        <v>264</v>
      </c>
      <c r="B3" s="139" t="s">
        <v>96</v>
      </c>
      <c r="C3" s="139" t="s">
        <v>95</v>
      </c>
      <c r="D3" s="51" t="s">
        <v>22</v>
      </c>
      <c r="E3" s="132">
        <v>10</v>
      </c>
      <c r="F3" s="145" t="s">
        <v>82</v>
      </c>
      <c r="H3" s="260"/>
      <c r="I3" s="260"/>
    </row>
    <row r="4" spans="1:52">
      <c r="A4" s="159" t="s">
        <v>265</v>
      </c>
      <c r="B4" s="139" t="s">
        <v>96</v>
      </c>
      <c r="C4" s="139" t="s">
        <v>95</v>
      </c>
      <c r="D4" s="51" t="s">
        <v>22</v>
      </c>
      <c r="E4" s="132">
        <v>2</v>
      </c>
      <c r="F4" s="145" t="s">
        <v>82</v>
      </c>
      <c r="H4" s="260"/>
      <c r="I4" s="260"/>
    </row>
    <row r="5" spans="1:52">
      <c r="A5" s="159" t="s">
        <v>266</v>
      </c>
      <c r="B5" s="139" t="s">
        <v>96</v>
      </c>
      <c r="C5" s="139" t="s">
        <v>95</v>
      </c>
      <c r="D5" s="51" t="s">
        <v>22</v>
      </c>
      <c r="E5" s="132">
        <v>1</v>
      </c>
      <c r="F5" s="145" t="s">
        <v>82</v>
      </c>
      <c r="H5" s="260"/>
      <c r="I5" s="260"/>
    </row>
    <row r="6" spans="1:52">
      <c r="A6" s="159" t="s">
        <v>272</v>
      </c>
      <c r="B6" s="139" t="s">
        <v>63</v>
      </c>
      <c r="C6" s="139" t="s">
        <v>62</v>
      </c>
      <c r="D6" s="51" t="s">
        <v>22</v>
      </c>
      <c r="E6" s="132">
        <v>80</v>
      </c>
      <c r="F6" s="145" t="s">
        <v>82</v>
      </c>
      <c r="H6" s="260"/>
      <c r="I6" s="260"/>
    </row>
    <row r="7" spans="1:52">
      <c r="A7" s="159" t="s">
        <v>273</v>
      </c>
      <c r="B7" s="139" t="s">
        <v>63</v>
      </c>
      <c r="C7" s="139" t="s">
        <v>62</v>
      </c>
      <c r="D7" s="51" t="s">
        <v>22</v>
      </c>
      <c r="E7" s="132">
        <v>15</v>
      </c>
      <c r="F7" s="145" t="s">
        <v>82</v>
      </c>
      <c r="H7" s="260"/>
      <c r="I7" s="260"/>
      <c r="L7" s="275"/>
    </row>
    <row r="8" spans="1:52">
      <c r="A8" s="159" t="s">
        <v>274</v>
      </c>
      <c r="B8" s="139" t="s">
        <v>63</v>
      </c>
      <c r="C8" s="139" t="s">
        <v>62</v>
      </c>
      <c r="D8" s="51" t="s">
        <v>22</v>
      </c>
      <c r="E8" s="132">
        <v>5</v>
      </c>
      <c r="F8" s="145" t="s">
        <v>82</v>
      </c>
      <c r="H8" s="260"/>
      <c r="I8" s="260"/>
      <c r="K8" s="275" t="s">
        <v>8</v>
      </c>
      <c r="L8" s="275" t="s">
        <v>1052</v>
      </c>
    </row>
    <row r="9" spans="1:52">
      <c r="A9" s="159" t="s">
        <v>275</v>
      </c>
      <c r="B9" s="139" t="s">
        <v>63</v>
      </c>
      <c r="C9" s="139" t="s">
        <v>62</v>
      </c>
      <c r="D9" s="51" t="s">
        <v>22</v>
      </c>
      <c r="E9" s="132">
        <v>2</v>
      </c>
      <c r="F9" s="145" t="s">
        <v>82</v>
      </c>
      <c r="H9" s="260"/>
      <c r="I9" s="260"/>
    </row>
    <row r="10" spans="1:52">
      <c r="A10" s="159" t="s">
        <v>276</v>
      </c>
      <c r="B10" s="139" t="s">
        <v>63</v>
      </c>
      <c r="C10" s="139" t="s">
        <v>62</v>
      </c>
      <c r="D10" s="51" t="s">
        <v>22</v>
      </c>
      <c r="E10" s="132">
        <v>2</v>
      </c>
      <c r="F10" s="145" t="s">
        <v>82</v>
      </c>
      <c r="H10" s="260"/>
      <c r="I10" s="260"/>
      <c r="K10" s="275" t="s">
        <v>1302</v>
      </c>
      <c r="L10" s="275" t="s">
        <v>164</v>
      </c>
    </row>
    <row r="11" spans="1:52">
      <c r="A11" s="159" t="s">
        <v>261</v>
      </c>
      <c r="B11" s="139" t="s">
        <v>59</v>
      </c>
      <c r="C11" s="139" t="s">
        <v>58</v>
      </c>
      <c r="D11" s="51" t="s">
        <v>22</v>
      </c>
      <c r="E11" s="143">
        <v>90</v>
      </c>
      <c r="F11" s="145" t="s">
        <v>232</v>
      </c>
      <c r="H11" s="260"/>
      <c r="I11" s="260"/>
      <c r="K11" s="275" t="s">
        <v>165</v>
      </c>
      <c r="L11" s="275" t="s">
        <v>24</v>
      </c>
      <c r="M11" s="275" t="s">
        <v>76</v>
      </c>
      <c r="N11" s="275" t="s">
        <v>1188</v>
      </c>
      <c r="O11" s="275" t="s">
        <v>33</v>
      </c>
      <c r="P11" s="275" t="s">
        <v>42</v>
      </c>
      <c r="Q11" s="275" t="s">
        <v>54</v>
      </c>
      <c r="R11" s="275" t="s">
        <v>57</v>
      </c>
      <c r="S11" s="275" t="s">
        <v>1181</v>
      </c>
      <c r="T11" s="275" t="s">
        <v>67</v>
      </c>
      <c r="U11" s="275" t="s">
        <v>1209</v>
      </c>
      <c r="V11" s="275" t="s">
        <v>40</v>
      </c>
      <c r="W11" s="275" t="s">
        <v>49</v>
      </c>
      <c r="X11" s="275" t="s">
        <v>44</v>
      </c>
      <c r="Y11" s="275" t="s">
        <v>51</v>
      </c>
      <c r="Z11" s="275" t="s">
        <v>63</v>
      </c>
      <c r="AA11" s="275" t="s">
        <v>142</v>
      </c>
      <c r="AB11" s="275" t="s">
        <v>116</v>
      </c>
      <c r="AC11" s="275" t="s">
        <v>59</v>
      </c>
      <c r="AD11" s="275" t="s">
        <v>71</v>
      </c>
      <c r="AE11" s="275" t="s">
        <v>1219</v>
      </c>
      <c r="AF11" s="275" t="s">
        <v>38</v>
      </c>
      <c r="AG11" s="275" t="s">
        <v>47</v>
      </c>
      <c r="AH11" s="275" t="s">
        <v>110</v>
      </c>
      <c r="AI11" s="275" t="s">
        <v>153</v>
      </c>
      <c r="AJ11" s="275" t="s">
        <v>135</v>
      </c>
      <c r="AK11" s="275" t="s">
        <v>107</v>
      </c>
      <c r="AL11" s="275" t="s">
        <v>128</v>
      </c>
      <c r="AM11" s="275" t="s">
        <v>102</v>
      </c>
      <c r="AN11" s="275" t="s">
        <v>105</v>
      </c>
      <c r="AO11" s="275" t="s">
        <v>133</v>
      </c>
      <c r="AP11" s="275" t="s">
        <v>126</v>
      </c>
      <c r="AQ11" s="275" t="s">
        <v>132</v>
      </c>
      <c r="AR11" s="275" t="s">
        <v>123</v>
      </c>
      <c r="AS11" s="275" t="s">
        <v>106</v>
      </c>
      <c r="AT11" s="275" t="s">
        <v>77</v>
      </c>
      <c r="AU11" s="275" t="s">
        <v>87</v>
      </c>
      <c r="AV11" s="275" t="s">
        <v>101</v>
      </c>
      <c r="AW11" s="275" t="s">
        <v>103</v>
      </c>
      <c r="AX11" s="275" t="s">
        <v>111</v>
      </c>
      <c r="AY11" s="275" t="s">
        <v>129</v>
      </c>
      <c r="AZ11" s="275" t="s">
        <v>148</v>
      </c>
    </row>
    <row r="12" spans="1:52">
      <c r="A12" s="159" t="s">
        <v>264</v>
      </c>
      <c r="B12" s="139" t="s">
        <v>59</v>
      </c>
      <c r="C12" s="139" t="s">
        <v>58</v>
      </c>
      <c r="D12" s="51" t="s">
        <v>22</v>
      </c>
      <c r="E12" s="143">
        <v>9</v>
      </c>
      <c r="F12" s="145" t="s">
        <v>232</v>
      </c>
      <c r="H12" s="260"/>
      <c r="I12" s="260"/>
      <c r="K12" s="277" t="s">
        <v>264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329</v>
      </c>
      <c r="B13" s="139" t="s">
        <v>59</v>
      </c>
      <c r="C13" s="139" t="s">
        <v>58</v>
      </c>
      <c r="D13" s="51" t="s">
        <v>22</v>
      </c>
      <c r="E13" s="143">
        <v>2</v>
      </c>
      <c r="F13" s="145" t="s">
        <v>232</v>
      </c>
      <c r="H13" s="260"/>
      <c r="I13" s="260"/>
      <c r="K13" s="277" t="s">
        <v>265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261</v>
      </c>
      <c r="B14" s="139" t="s">
        <v>57</v>
      </c>
      <c r="C14" s="139" t="s">
        <v>1303</v>
      </c>
      <c r="D14" s="51" t="s">
        <v>22</v>
      </c>
      <c r="E14" s="143">
        <v>90</v>
      </c>
      <c r="F14" s="145" t="s">
        <v>82</v>
      </c>
      <c r="H14" s="260"/>
      <c r="I14" s="260"/>
      <c r="K14" s="277" t="s">
        <v>266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264</v>
      </c>
      <c r="B15" s="139" t="s">
        <v>57</v>
      </c>
      <c r="C15" s="139" t="s">
        <v>1303</v>
      </c>
      <c r="D15" s="51" t="s">
        <v>22</v>
      </c>
      <c r="E15" s="143">
        <v>9</v>
      </c>
      <c r="F15" s="145" t="s">
        <v>82</v>
      </c>
      <c r="H15" s="260"/>
      <c r="I15" s="260"/>
      <c r="K15" s="277" t="s">
        <v>267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329</v>
      </c>
      <c r="B16" s="139" t="s">
        <v>57</v>
      </c>
      <c r="C16" s="139" t="s">
        <v>1303</v>
      </c>
      <c r="D16" s="51" t="s">
        <v>22</v>
      </c>
      <c r="E16" s="143">
        <v>2</v>
      </c>
      <c r="F16" s="145" t="s">
        <v>82</v>
      </c>
      <c r="H16" s="260"/>
      <c r="I16" s="260"/>
      <c r="K16" s="277" t="s">
        <v>268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261</v>
      </c>
      <c r="B17" s="139" t="s">
        <v>99</v>
      </c>
      <c r="C17" s="139" t="s">
        <v>98</v>
      </c>
      <c r="D17" s="51" t="s">
        <v>35</v>
      </c>
      <c r="E17" s="132">
        <v>30</v>
      </c>
      <c r="F17" s="145" t="s">
        <v>82</v>
      </c>
      <c r="H17" s="260"/>
      <c r="I17" s="260"/>
      <c r="K17" s="277" t="s">
        <v>269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264</v>
      </c>
      <c r="B18" s="139" t="s">
        <v>99</v>
      </c>
      <c r="C18" s="139" t="s">
        <v>98</v>
      </c>
      <c r="D18" s="51" t="s">
        <v>35</v>
      </c>
      <c r="E18" s="132">
        <v>10</v>
      </c>
      <c r="F18" s="145" t="s">
        <v>82</v>
      </c>
      <c r="H18" s="260"/>
      <c r="I18" s="260"/>
      <c r="K18" s="277" t="s">
        <v>261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265</v>
      </c>
      <c r="B19" s="139" t="s">
        <v>99</v>
      </c>
      <c r="C19" s="139" t="s">
        <v>98</v>
      </c>
      <c r="D19" s="51" t="s">
        <v>35</v>
      </c>
      <c r="E19" s="132">
        <v>2</v>
      </c>
      <c r="F19" s="145" t="s">
        <v>82</v>
      </c>
      <c r="H19" s="260"/>
      <c r="I19" s="260"/>
      <c r="K19" s="277" t="s">
        <v>273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266</v>
      </c>
      <c r="B20" s="139" t="s">
        <v>99</v>
      </c>
      <c r="C20" s="139" t="s">
        <v>98</v>
      </c>
      <c r="D20" s="51" t="s">
        <v>35</v>
      </c>
      <c r="E20" s="132">
        <v>1</v>
      </c>
      <c r="F20" s="145" t="s">
        <v>82</v>
      </c>
      <c r="H20" s="260"/>
      <c r="I20" s="260"/>
      <c r="K20" s="277" t="s">
        <v>274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261</v>
      </c>
      <c r="B21" s="139" t="s">
        <v>105</v>
      </c>
      <c r="C21" s="139" t="s">
        <v>104</v>
      </c>
      <c r="D21" s="51" t="s">
        <v>22</v>
      </c>
      <c r="E21" s="132">
        <v>110</v>
      </c>
      <c r="F21" s="145" t="s">
        <v>232</v>
      </c>
      <c r="H21" s="260"/>
      <c r="I21" s="260"/>
      <c r="K21" s="277" t="s">
        <v>275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264</v>
      </c>
      <c r="B22" s="139" t="s">
        <v>105</v>
      </c>
      <c r="C22" s="139" t="s">
        <v>104</v>
      </c>
      <c r="D22" s="51" t="s">
        <v>22</v>
      </c>
      <c r="E22" s="132">
        <v>8</v>
      </c>
      <c r="F22" s="145" t="s">
        <v>232</v>
      </c>
      <c r="H22" s="260"/>
      <c r="I22" s="260"/>
      <c r="K22" s="277" t="s">
        <v>276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265</v>
      </c>
      <c r="B23" s="139" t="s">
        <v>105</v>
      </c>
      <c r="C23" s="139" t="s">
        <v>104</v>
      </c>
      <c r="D23" s="51" t="s">
        <v>22</v>
      </c>
      <c r="E23" s="132">
        <v>5</v>
      </c>
      <c r="F23" s="145" t="s">
        <v>232</v>
      </c>
      <c r="H23" s="260"/>
      <c r="I23" s="260"/>
      <c r="K23" s="277" t="s">
        <v>272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261</v>
      </c>
      <c r="B24" s="139" t="s">
        <v>121</v>
      </c>
      <c r="C24" s="139" t="s">
        <v>120</v>
      </c>
      <c r="D24" s="51" t="s">
        <v>22</v>
      </c>
      <c r="E24" s="132">
        <v>107</v>
      </c>
      <c r="F24" s="145" t="s">
        <v>82</v>
      </c>
      <c r="H24" s="260"/>
      <c r="I24" s="260"/>
      <c r="K24" s="277" t="s">
        <v>142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264</v>
      </c>
      <c r="B25" s="139" t="s">
        <v>121</v>
      </c>
      <c r="C25" s="139" t="s">
        <v>120</v>
      </c>
      <c r="D25" s="51" t="s">
        <v>22</v>
      </c>
      <c r="E25" s="132">
        <v>2</v>
      </c>
      <c r="F25" s="145" t="s">
        <v>82</v>
      </c>
      <c r="H25" s="260"/>
      <c r="I25" s="260"/>
      <c r="K25" s="277" t="s">
        <v>148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294</v>
      </c>
      <c r="B26" s="139" t="s">
        <v>121</v>
      </c>
      <c r="C26" s="139" t="s">
        <v>120</v>
      </c>
      <c r="D26" s="51" t="s">
        <v>22</v>
      </c>
      <c r="E26" s="132">
        <v>5</v>
      </c>
      <c r="F26" s="145" t="s">
        <v>82</v>
      </c>
      <c r="H26" s="260"/>
      <c r="I26" s="260"/>
      <c r="L26" s="275"/>
    </row>
    <row r="27" spans="1:52">
      <c r="A27" s="159" t="s">
        <v>266</v>
      </c>
      <c r="B27" s="139" t="s">
        <v>121</v>
      </c>
      <c r="C27" s="139" t="s">
        <v>120</v>
      </c>
      <c r="D27" s="51" t="s">
        <v>22</v>
      </c>
      <c r="E27" s="132">
        <v>1</v>
      </c>
      <c r="F27" s="145" t="s">
        <v>82</v>
      </c>
      <c r="H27" s="260"/>
      <c r="I27" s="260"/>
      <c r="L27" s="275"/>
    </row>
    <row r="28" spans="1:52" ht="14.4">
      <c r="A28" s="159" t="s">
        <v>267</v>
      </c>
      <c r="B28" s="139" t="s">
        <v>121</v>
      </c>
      <c r="C28" s="139" t="s">
        <v>120</v>
      </c>
      <c r="D28" s="51" t="s">
        <v>22</v>
      </c>
      <c r="E28" s="132">
        <v>1</v>
      </c>
      <c r="F28" s="145" t="s">
        <v>82</v>
      </c>
      <c r="H28" s="260"/>
      <c r="I28" s="260"/>
      <c r="K28" s="16" t="s">
        <v>8</v>
      </c>
      <c r="L28" t="s">
        <v>162</v>
      </c>
    </row>
    <row r="29" spans="1:52">
      <c r="A29" s="159" t="s">
        <v>268</v>
      </c>
      <c r="B29" s="139" t="s">
        <v>121</v>
      </c>
      <c r="C29" s="139" t="s">
        <v>120</v>
      </c>
      <c r="D29" s="51" t="s">
        <v>22</v>
      </c>
      <c r="E29" s="132">
        <v>1</v>
      </c>
      <c r="F29" s="145" t="s">
        <v>82</v>
      </c>
      <c r="H29" s="260"/>
      <c r="I29" s="260"/>
      <c r="L29" s="275"/>
    </row>
    <row r="30" spans="1:52" ht="14.4">
      <c r="A30" s="159" t="s">
        <v>261</v>
      </c>
      <c r="B30" s="139" t="s">
        <v>81</v>
      </c>
      <c r="C30" s="139" t="s">
        <v>83</v>
      </c>
      <c r="D30" s="51" t="s">
        <v>22</v>
      </c>
      <c r="E30" s="132">
        <v>420</v>
      </c>
      <c r="F30" s="145" t="s">
        <v>232</v>
      </c>
      <c r="H30" s="260"/>
      <c r="I30" s="260"/>
      <c r="K30" s="16" t="s">
        <v>1302</v>
      </c>
      <c r="L30" s="16" t="s">
        <v>164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 ht="14.4">
      <c r="A31" s="159" t="s">
        <v>264</v>
      </c>
      <c r="B31" s="139" t="s">
        <v>81</v>
      </c>
      <c r="C31" s="139" t="s">
        <v>83</v>
      </c>
      <c r="D31" s="51" t="s">
        <v>22</v>
      </c>
      <c r="E31" s="132">
        <v>50</v>
      </c>
      <c r="F31" s="145" t="s">
        <v>232</v>
      </c>
      <c r="H31" s="260"/>
      <c r="I31" s="260"/>
      <c r="K31" s="16" t="s">
        <v>165</v>
      </c>
      <c r="L31" t="s">
        <v>264</v>
      </c>
      <c r="M31" t="s">
        <v>265</v>
      </c>
      <c r="N31" t="s">
        <v>266</v>
      </c>
      <c r="O31" t="s">
        <v>267</v>
      </c>
      <c r="P31" t="s">
        <v>268</v>
      </c>
      <c r="Q31" t="s">
        <v>261</v>
      </c>
      <c r="R31" t="s">
        <v>273</v>
      </c>
      <c r="S31" t="s">
        <v>274</v>
      </c>
      <c r="T31" t="s">
        <v>275</v>
      </c>
      <c r="U31" t="s">
        <v>276</v>
      </c>
      <c r="V31" t="s">
        <v>272</v>
      </c>
      <c r="W31" t="s">
        <v>148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 ht="14.4">
      <c r="A32" s="159" t="s">
        <v>265</v>
      </c>
      <c r="B32" s="139" t="s">
        <v>81</v>
      </c>
      <c r="C32" s="139" t="s">
        <v>83</v>
      </c>
      <c r="D32" s="51" t="s">
        <v>22</v>
      </c>
      <c r="E32" s="132">
        <v>11</v>
      </c>
      <c r="F32" s="145" t="s">
        <v>232</v>
      </c>
      <c r="H32" s="260"/>
      <c r="I32" s="260"/>
      <c r="K32" s="96" t="s">
        <v>82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 ht="14.4">
      <c r="A33" s="159" t="s">
        <v>266</v>
      </c>
      <c r="B33" s="139" t="s">
        <v>81</v>
      </c>
      <c r="C33" s="139" t="s">
        <v>83</v>
      </c>
      <c r="D33" s="51" t="s">
        <v>22</v>
      </c>
      <c r="E33" s="132">
        <v>4</v>
      </c>
      <c r="F33" s="145" t="s">
        <v>232</v>
      </c>
      <c r="H33" s="260"/>
      <c r="I33" s="260"/>
      <c r="K33" s="96" t="s">
        <v>226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 ht="14.4">
      <c r="A34" s="159" t="s">
        <v>267</v>
      </c>
      <c r="B34" s="139" t="s">
        <v>81</v>
      </c>
      <c r="C34" s="139" t="s">
        <v>83</v>
      </c>
      <c r="D34" s="51" t="s">
        <v>22</v>
      </c>
      <c r="E34" s="132">
        <v>4</v>
      </c>
      <c r="F34" s="145" t="s">
        <v>232</v>
      </c>
      <c r="H34" s="260"/>
      <c r="I34" s="260"/>
      <c r="K34" s="96" t="s">
        <v>232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 ht="14.4">
      <c r="A35" s="159" t="s">
        <v>268</v>
      </c>
      <c r="B35" s="139" t="s">
        <v>81</v>
      </c>
      <c r="C35" s="139" t="s">
        <v>83</v>
      </c>
      <c r="D35" s="51" t="s">
        <v>22</v>
      </c>
      <c r="E35" s="132">
        <v>3</v>
      </c>
      <c r="F35" s="145" t="s">
        <v>232</v>
      </c>
      <c r="H35" s="260"/>
      <c r="I35" s="260"/>
      <c r="K35" s="96" t="s">
        <v>148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 ht="14.4">
      <c r="A36" s="159" t="s">
        <v>261</v>
      </c>
      <c r="B36" s="139" t="s">
        <v>122</v>
      </c>
      <c r="C36" s="139" t="s">
        <v>1304</v>
      </c>
      <c r="D36" s="51" t="s">
        <v>22</v>
      </c>
      <c r="E36" s="132">
        <v>200</v>
      </c>
      <c r="F36" s="145" t="s">
        <v>82</v>
      </c>
      <c r="H36" s="260"/>
      <c r="I36" s="260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 ht="14.4">
      <c r="A37" s="159" t="s">
        <v>294</v>
      </c>
      <c r="B37" s="139" t="s">
        <v>122</v>
      </c>
      <c r="C37" s="139" t="s">
        <v>1304</v>
      </c>
      <c r="D37" s="51" t="s">
        <v>22</v>
      </c>
      <c r="E37" s="132">
        <v>20</v>
      </c>
      <c r="F37" s="145" t="s">
        <v>82</v>
      </c>
      <c r="H37" s="260"/>
      <c r="I37" s="260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 ht="14.4">
      <c r="A38" s="159" t="s">
        <v>266</v>
      </c>
      <c r="B38" s="139" t="s">
        <v>122</v>
      </c>
      <c r="C38" s="139" t="s">
        <v>1304</v>
      </c>
      <c r="D38" s="51" t="s">
        <v>22</v>
      </c>
      <c r="E38" s="132">
        <v>1</v>
      </c>
      <c r="F38" s="145" t="s">
        <v>82</v>
      </c>
      <c r="H38" s="260"/>
      <c r="I38" s="260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 ht="14.4">
      <c r="A39" s="159" t="s">
        <v>261</v>
      </c>
      <c r="B39" s="139" t="s">
        <v>85</v>
      </c>
      <c r="C39" s="139" t="s">
        <v>84</v>
      </c>
      <c r="D39" s="51" t="s">
        <v>22</v>
      </c>
      <c r="E39" s="132">
        <v>5</v>
      </c>
      <c r="F39" s="145" t="s">
        <v>226</v>
      </c>
      <c r="H39" s="260"/>
      <c r="I39" s="260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 ht="14.4">
      <c r="A40" s="159" t="s">
        <v>261</v>
      </c>
      <c r="B40" s="139" t="s">
        <v>85</v>
      </c>
      <c r="C40" s="139" t="s">
        <v>84</v>
      </c>
      <c r="D40" s="51" t="s">
        <v>22</v>
      </c>
      <c r="E40" s="132">
        <v>310</v>
      </c>
      <c r="F40" s="145" t="s">
        <v>226</v>
      </c>
      <c r="H40" s="260"/>
      <c r="I40" s="26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 ht="14.4">
      <c r="A41" s="159" t="s">
        <v>264</v>
      </c>
      <c r="B41" s="139" t="s">
        <v>85</v>
      </c>
      <c r="C41" s="139" t="s">
        <v>84</v>
      </c>
      <c r="D41" s="51" t="s">
        <v>22</v>
      </c>
      <c r="E41" s="132">
        <v>15</v>
      </c>
      <c r="F41" s="145" t="s">
        <v>226</v>
      </c>
      <c r="H41" s="260"/>
      <c r="I41" s="260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 ht="14.4">
      <c r="A42" s="159" t="s">
        <v>261</v>
      </c>
      <c r="B42" s="139" t="s">
        <v>89</v>
      </c>
      <c r="C42" s="139" t="s">
        <v>88</v>
      </c>
      <c r="D42" s="51" t="s">
        <v>22</v>
      </c>
      <c r="E42" s="132">
        <v>40</v>
      </c>
      <c r="F42" s="145" t="s">
        <v>226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 ht="14.4">
      <c r="A43" s="159" t="s">
        <v>264</v>
      </c>
      <c r="B43" s="139" t="s">
        <v>89</v>
      </c>
      <c r="C43" s="139" t="s">
        <v>88</v>
      </c>
      <c r="D43" s="51" t="s">
        <v>22</v>
      </c>
      <c r="E43" s="132">
        <v>12</v>
      </c>
      <c r="F43" s="145" t="s">
        <v>226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 ht="14.4">
      <c r="A44" s="159" t="s">
        <v>265</v>
      </c>
      <c r="B44" s="139" t="s">
        <v>89</v>
      </c>
      <c r="C44" s="139" t="s">
        <v>88</v>
      </c>
      <c r="D44" s="51" t="s">
        <v>22</v>
      </c>
      <c r="E44" s="132">
        <v>3</v>
      </c>
      <c r="F44" s="145" t="s">
        <v>226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 ht="14.4">
      <c r="A45" s="159" t="s">
        <v>266</v>
      </c>
      <c r="B45" s="139" t="s">
        <v>89</v>
      </c>
      <c r="C45" s="139" t="s">
        <v>88</v>
      </c>
      <c r="D45" s="51" t="s">
        <v>22</v>
      </c>
      <c r="E45" s="132">
        <v>2</v>
      </c>
      <c r="F45" s="145" t="s">
        <v>226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 ht="14.4">
      <c r="A46" s="159" t="s">
        <v>261</v>
      </c>
      <c r="B46" s="139" t="s">
        <v>94</v>
      </c>
      <c r="C46" s="139" t="s">
        <v>93</v>
      </c>
      <c r="D46" s="51" t="s">
        <v>22</v>
      </c>
      <c r="E46" s="132">
        <v>5</v>
      </c>
      <c r="F46" s="145" t="s">
        <v>226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 ht="14.4">
      <c r="A47" s="159" t="s">
        <v>261</v>
      </c>
      <c r="B47" s="139" t="s">
        <v>92</v>
      </c>
      <c r="C47" s="139" t="s">
        <v>91</v>
      </c>
      <c r="D47" s="51" t="s">
        <v>22</v>
      </c>
      <c r="E47" s="132">
        <v>60</v>
      </c>
      <c r="F47" s="145" t="s">
        <v>82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 ht="14.4">
      <c r="A48" s="159" t="s">
        <v>264</v>
      </c>
      <c r="B48" s="139" t="s">
        <v>92</v>
      </c>
      <c r="C48" s="139" t="s">
        <v>91</v>
      </c>
      <c r="D48" s="51" t="s">
        <v>22</v>
      </c>
      <c r="E48" s="132">
        <v>10</v>
      </c>
      <c r="F48" s="145" t="s">
        <v>82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ht="14.4">
      <c r="A49" s="159" t="s">
        <v>265</v>
      </c>
      <c r="B49" s="139" t="s">
        <v>92</v>
      </c>
      <c r="C49" s="139" t="s">
        <v>91</v>
      </c>
      <c r="D49" s="51" t="s">
        <v>22</v>
      </c>
      <c r="E49" s="132">
        <v>3</v>
      </c>
      <c r="F49" s="145" t="s">
        <v>82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ht="14.4">
      <c r="A50" s="159" t="s">
        <v>261</v>
      </c>
      <c r="B50" s="139" t="s">
        <v>90</v>
      </c>
      <c r="C50" s="139" t="s">
        <v>119</v>
      </c>
      <c r="D50" s="51" t="s">
        <v>22</v>
      </c>
      <c r="E50" s="132">
        <v>240</v>
      </c>
      <c r="F50" s="145" t="s">
        <v>82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ht="14.4">
      <c r="A51" s="159" t="s">
        <v>264</v>
      </c>
      <c r="B51" s="139" t="s">
        <v>90</v>
      </c>
      <c r="C51" s="139" t="s">
        <v>119</v>
      </c>
      <c r="D51" s="51" t="s">
        <v>22</v>
      </c>
      <c r="E51" s="132">
        <v>50</v>
      </c>
      <c r="F51" s="145" t="s">
        <v>82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ht="14.4">
      <c r="A52" s="159" t="s">
        <v>261</v>
      </c>
      <c r="B52" s="139" t="s">
        <v>1305</v>
      </c>
      <c r="C52" s="139" t="s">
        <v>1306</v>
      </c>
      <c r="D52" s="51" t="s">
        <v>22</v>
      </c>
      <c r="E52" s="132">
        <v>60</v>
      </c>
      <c r="F52" s="145" t="s">
        <v>226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ht="14.4">
      <c r="A53" s="159" t="s">
        <v>264</v>
      </c>
      <c r="B53" s="139" t="s">
        <v>1305</v>
      </c>
      <c r="C53" s="139" t="s">
        <v>1306</v>
      </c>
      <c r="D53" s="51" t="s">
        <v>22</v>
      </c>
      <c r="E53" s="132">
        <v>25</v>
      </c>
      <c r="F53" s="145" t="s">
        <v>226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ht="14.4">
      <c r="A54" s="159" t="s">
        <v>265</v>
      </c>
      <c r="B54" s="139" t="s">
        <v>1305</v>
      </c>
      <c r="C54" s="139" t="s">
        <v>1306</v>
      </c>
      <c r="D54" s="51" t="s">
        <v>22</v>
      </c>
      <c r="E54" s="132">
        <v>15</v>
      </c>
      <c r="F54" s="145" t="s">
        <v>226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ht="14.4">
      <c r="A55" s="159" t="s">
        <v>266</v>
      </c>
      <c r="B55" s="139" t="s">
        <v>1305</v>
      </c>
      <c r="C55" s="139" t="s">
        <v>1306</v>
      </c>
      <c r="D55" s="51" t="s">
        <v>22</v>
      </c>
      <c r="E55" s="132">
        <v>4</v>
      </c>
      <c r="F55" s="145" t="s">
        <v>226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ht="14.4">
      <c r="A56" s="159" t="s">
        <v>267</v>
      </c>
      <c r="B56" s="139" t="s">
        <v>1305</v>
      </c>
      <c r="C56" s="139" t="s">
        <v>1306</v>
      </c>
      <c r="D56" s="51" t="s">
        <v>22</v>
      </c>
      <c r="E56" s="132">
        <v>2</v>
      </c>
      <c r="F56" s="145" t="s">
        <v>226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ht="14.4">
      <c r="A57" s="159" t="s">
        <v>261</v>
      </c>
      <c r="B57" s="139" t="s">
        <v>1307</v>
      </c>
      <c r="C57" s="139" t="s">
        <v>1308</v>
      </c>
      <c r="D57" s="51" t="s">
        <v>22</v>
      </c>
      <c r="E57" s="132">
        <v>50</v>
      </c>
      <c r="F57" s="145" t="s">
        <v>82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ht="14.4">
      <c r="A58" s="159" t="s">
        <v>264</v>
      </c>
      <c r="B58" s="139" t="s">
        <v>1307</v>
      </c>
      <c r="C58" s="139" t="s">
        <v>1308</v>
      </c>
      <c r="D58" s="51" t="s">
        <v>22</v>
      </c>
      <c r="E58" s="132">
        <v>10</v>
      </c>
      <c r="F58" s="145" t="s">
        <v>82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ht="14.4">
      <c r="A59" s="159" t="s">
        <v>261</v>
      </c>
      <c r="B59" s="139" t="s">
        <v>283</v>
      </c>
      <c r="C59" s="139" t="s">
        <v>284</v>
      </c>
      <c r="D59" s="51" t="s">
        <v>22</v>
      </c>
      <c r="E59" s="132">
        <v>45</v>
      </c>
      <c r="F59" s="145" t="s">
        <v>226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ht="14.4">
      <c r="A60" s="159" t="s">
        <v>264</v>
      </c>
      <c r="B60" s="139" t="s">
        <v>283</v>
      </c>
      <c r="C60" s="139" t="s">
        <v>284</v>
      </c>
      <c r="D60" s="51" t="s">
        <v>22</v>
      </c>
      <c r="E60" s="132">
        <v>5</v>
      </c>
      <c r="F60" s="145" t="s">
        <v>226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ht="14.4">
      <c r="A61" s="159" t="s">
        <v>261</v>
      </c>
      <c r="B61" s="139" t="s">
        <v>145</v>
      </c>
      <c r="C61" s="139" t="s">
        <v>1309</v>
      </c>
      <c r="D61" s="51" t="s">
        <v>22</v>
      </c>
      <c r="E61" s="132">
        <v>40</v>
      </c>
      <c r="F61" s="145" t="s">
        <v>82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 ht="14.4">
      <c r="A62" s="159" t="s">
        <v>272</v>
      </c>
      <c r="B62" s="139" t="s">
        <v>1310</v>
      </c>
      <c r="C62" s="139" t="s">
        <v>1311</v>
      </c>
      <c r="D62" s="51" t="s">
        <v>22</v>
      </c>
      <c r="E62" s="132">
        <v>770</v>
      </c>
      <c r="F62" s="145" t="s">
        <v>82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 ht="14.4">
      <c r="A63" s="159" t="s">
        <v>273</v>
      </c>
      <c r="B63" s="139" t="s">
        <v>1310</v>
      </c>
      <c r="C63" s="139" t="s">
        <v>1311</v>
      </c>
      <c r="D63" s="51" t="s">
        <v>22</v>
      </c>
      <c r="E63" s="132">
        <v>180</v>
      </c>
      <c r="F63" s="145" t="s">
        <v>82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 ht="14.4">
      <c r="A64" s="159" t="s">
        <v>274</v>
      </c>
      <c r="B64" s="139" t="s">
        <v>1310</v>
      </c>
      <c r="C64" s="139" t="s">
        <v>1311</v>
      </c>
      <c r="D64" s="51" t="s">
        <v>22</v>
      </c>
      <c r="E64" s="132">
        <v>16</v>
      </c>
      <c r="F64" s="145" t="s">
        <v>82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 ht="14.4">
      <c r="A65" s="159" t="s">
        <v>275</v>
      </c>
      <c r="B65" s="139" t="s">
        <v>1310</v>
      </c>
      <c r="C65" s="139" t="s">
        <v>1311</v>
      </c>
      <c r="D65" s="51" t="s">
        <v>22</v>
      </c>
      <c r="E65" s="132">
        <v>4</v>
      </c>
      <c r="F65" s="145" t="s">
        <v>82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 ht="14.4">
      <c r="A66" s="159" t="s">
        <v>276</v>
      </c>
      <c r="B66" s="139" t="s">
        <v>1310</v>
      </c>
      <c r="C66" s="139" t="s">
        <v>1311</v>
      </c>
      <c r="D66" s="51" t="s">
        <v>22</v>
      </c>
      <c r="E66" s="132">
        <v>4</v>
      </c>
      <c r="F66" s="145" t="s">
        <v>82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 ht="14.4">
      <c r="A67" s="159" t="s">
        <v>261</v>
      </c>
      <c r="B67" s="139" t="s">
        <v>1312</v>
      </c>
      <c r="C67" s="139" t="s">
        <v>1313</v>
      </c>
      <c r="D67" s="51" t="s">
        <v>22</v>
      </c>
      <c r="E67" s="132">
        <v>60</v>
      </c>
      <c r="F67" s="145" t="s">
        <v>226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 ht="14.4">
      <c r="A68" s="159" t="s">
        <v>264</v>
      </c>
      <c r="B68" s="139" t="s">
        <v>1312</v>
      </c>
      <c r="C68" s="139" t="s">
        <v>1313</v>
      </c>
      <c r="D68" s="51" t="s">
        <v>22</v>
      </c>
      <c r="E68" s="132">
        <v>15</v>
      </c>
      <c r="F68" s="145" t="s">
        <v>226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 ht="14.4">
      <c r="A69" s="159" t="s">
        <v>265</v>
      </c>
      <c r="B69" s="139" t="s">
        <v>1312</v>
      </c>
      <c r="C69" s="139" t="s">
        <v>1313</v>
      </c>
      <c r="D69" s="51" t="s">
        <v>22</v>
      </c>
      <c r="E69" s="132">
        <v>5</v>
      </c>
      <c r="F69" s="145" t="s">
        <v>226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 ht="14.4">
      <c r="A70" s="159" t="s">
        <v>266</v>
      </c>
      <c r="B70" s="139" t="s">
        <v>1312</v>
      </c>
      <c r="C70" s="139" t="s">
        <v>1313</v>
      </c>
      <c r="D70" s="51" t="s">
        <v>22</v>
      </c>
      <c r="E70" s="132">
        <v>1</v>
      </c>
      <c r="F70" s="145" t="s">
        <v>226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 ht="14.4">
      <c r="A71" s="159" t="s">
        <v>261</v>
      </c>
      <c r="B71" s="139" t="s">
        <v>1314</v>
      </c>
      <c r="C71" s="139" t="s">
        <v>1315</v>
      </c>
      <c r="D71" s="51" t="s">
        <v>35</v>
      </c>
      <c r="E71" s="132">
        <v>46</v>
      </c>
      <c r="F71" s="145" t="s">
        <v>226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 ht="14.4">
      <c r="A72" s="159" t="s">
        <v>264</v>
      </c>
      <c r="B72" s="139" t="s">
        <v>1314</v>
      </c>
      <c r="C72" s="139" t="s">
        <v>1315</v>
      </c>
      <c r="D72" s="51" t="s">
        <v>35</v>
      </c>
      <c r="E72" s="132">
        <v>6</v>
      </c>
      <c r="F72" s="145" t="s">
        <v>226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 ht="14.4">
      <c r="A73" s="159" t="s">
        <v>261</v>
      </c>
      <c r="B73" s="139" t="s">
        <v>1316</v>
      </c>
      <c r="C73" s="139" t="s">
        <v>1317</v>
      </c>
      <c r="D73" s="51" t="s">
        <v>22</v>
      </c>
      <c r="E73" s="132">
        <v>75</v>
      </c>
      <c r="F73" s="145" t="s">
        <v>226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 ht="14.4">
      <c r="A74" s="159" t="s">
        <v>264</v>
      </c>
      <c r="B74" s="139" t="s">
        <v>1316</v>
      </c>
      <c r="C74" s="139" t="s">
        <v>1317</v>
      </c>
      <c r="D74" s="51" t="s">
        <v>22</v>
      </c>
      <c r="E74" s="132">
        <v>5</v>
      </c>
      <c r="F74" s="145" t="s">
        <v>226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 ht="14.4">
      <c r="A75" s="159" t="s">
        <v>261</v>
      </c>
      <c r="B75" s="139" t="s">
        <v>1318</v>
      </c>
      <c r="C75" s="139" t="s">
        <v>1319</v>
      </c>
      <c r="D75" s="51" t="s">
        <v>35</v>
      </c>
      <c r="E75" s="132">
        <v>80</v>
      </c>
      <c r="F75" s="145" t="s">
        <v>226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 ht="14.4">
      <c r="A76" s="159" t="s">
        <v>264</v>
      </c>
      <c r="B76" s="139" t="s">
        <v>1318</v>
      </c>
      <c r="C76" s="139" t="s">
        <v>1319</v>
      </c>
      <c r="D76" s="51" t="s">
        <v>35</v>
      </c>
      <c r="E76" s="132">
        <v>14</v>
      </c>
      <c r="F76" s="145" t="s">
        <v>226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 ht="14.4">
      <c r="A77" s="159" t="s">
        <v>265</v>
      </c>
      <c r="B77" s="139" t="s">
        <v>1318</v>
      </c>
      <c r="C77" s="139" t="s">
        <v>1319</v>
      </c>
      <c r="D77" s="51" t="s">
        <v>35</v>
      </c>
      <c r="E77" s="132">
        <v>2</v>
      </c>
      <c r="F77" s="145" t="s">
        <v>226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 ht="14.4">
      <c r="A78" s="159" t="s">
        <v>266</v>
      </c>
      <c r="B78" s="139" t="s">
        <v>1318</v>
      </c>
      <c r="C78" s="139" t="s">
        <v>1319</v>
      </c>
      <c r="D78" s="51" t="s">
        <v>35</v>
      </c>
      <c r="E78" s="132">
        <v>2</v>
      </c>
      <c r="F78" s="145" t="s">
        <v>226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 ht="14.4">
      <c r="A79" s="159" t="s">
        <v>267</v>
      </c>
      <c r="B79" s="139" t="s">
        <v>1318</v>
      </c>
      <c r="C79" s="139" t="s">
        <v>1319</v>
      </c>
      <c r="D79" s="51" t="s">
        <v>35</v>
      </c>
      <c r="E79" s="132">
        <v>2</v>
      </c>
      <c r="F79" s="145" t="s">
        <v>226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 ht="14.4">
      <c r="A80" s="159" t="s">
        <v>261</v>
      </c>
      <c r="B80" s="139" t="s">
        <v>96</v>
      </c>
      <c r="C80" s="139" t="s">
        <v>1320</v>
      </c>
      <c r="D80" s="51" t="s">
        <v>22</v>
      </c>
      <c r="E80" s="132">
        <v>70</v>
      </c>
      <c r="F80" s="145" t="s">
        <v>226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 ht="14.4">
      <c r="A81" s="159" t="s">
        <v>264</v>
      </c>
      <c r="B81" s="139" t="s">
        <v>96</v>
      </c>
      <c r="C81" s="139" t="s">
        <v>1320</v>
      </c>
      <c r="D81" s="51" t="s">
        <v>22</v>
      </c>
      <c r="E81" s="132">
        <v>60</v>
      </c>
      <c r="F81" s="145" t="s">
        <v>226</v>
      </c>
      <c r="K81"/>
      <c r="L81"/>
    </row>
    <row r="82" spans="1:12" ht="14.4">
      <c r="A82" s="159" t="s">
        <v>265</v>
      </c>
      <c r="B82" s="139" t="s">
        <v>96</v>
      </c>
      <c r="C82" s="139" t="s">
        <v>1320</v>
      </c>
      <c r="D82" s="51" t="s">
        <v>22</v>
      </c>
      <c r="E82" s="132">
        <v>7</v>
      </c>
      <c r="F82" s="145" t="s">
        <v>226</v>
      </c>
      <c r="K82"/>
      <c r="L82"/>
    </row>
    <row r="83" spans="1:12" ht="14.4">
      <c r="A83" s="159" t="s">
        <v>266</v>
      </c>
      <c r="B83" s="139" t="s">
        <v>96</v>
      </c>
      <c r="C83" s="139" t="s">
        <v>1320</v>
      </c>
      <c r="D83" s="51" t="s">
        <v>22</v>
      </c>
      <c r="E83" s="132">
        <v>3</v>
      </c>
      <c r="F83" s="145" t="s">
        <v>226</v>
      </c>
      <c r="K83"/>
      <c r="L83"/>
    </row>
    <row r="84" spans="1:12" ht="14.4">
      <c r="A84" s="159" t="s">
        <v>261</v>
      </c>
      <c r="B84" s="139" t="s">
        <v>79</v>
      </c>
      <c r="C84" s="139" t="s">
        <v>1321</v>
      </c>
      <c r="D84" s="51" t="s">
        <v>22</v>
      </c>
      <c r="E84" s="132">
        <v>90</v>
      </c>
      <c r="F84" s="145" t="s">
        <v>232</v>
      </c>
      <c r="K84"/>
      <c r="L84"/>
    </row>
    <row r="85" spans="1:12" ht="14.4">
      <c r="A85" s="159" t="s">
        <v>264</v>
      </c>
      <c r="B85" s="139" t="s">
        <v>79</v>
      </c>
      <c r="C85" s="139" t="s">
        <v>1321</v>
      </c>
      <c r="D85" s="51" t="s">
        <v>22</v>
      </c>
      <c r="E85" s="132">
        <v>13</v>
      </c>
      <c r="F85" s="145" t="s">
        <v>232</v>
      </c>
      <c r="K85"/>
      <c r="L85"/>
    </row>
    <row r="86" spans="1:12" ht="14.4">
      <c r="A86" s="159" t="s">
        <v>265</v>
      </c>
      <c r="B86" s="139" t="s">
        <v>79</v>
      </c>
      <c r="C86" s="139" t="s">
        <v>1321</v>
      </c>
      <c r="D86" s="51" t="s">
        <v>22</v>
      </c>
      <c r="E86" s="132">
        <v>9</v>
      </c>
      <c r="F86" s="145" t="s">
        <v>232</v>
      </c>
      <c r="K86"/>
      <c r="L86"/>
    </row>
    <row r="87" spans="1:12" ht="14.4">
      <c r="A87" s="159" t="s">
        <v>266</v>
      </c>
      <c r="B87" s="139" t="s">
        <v>79</v>
      </c>
      <c r="C87" s="139" t="s">
        <v>1321</v>
      </c>
      <c r="D87" s="51" t="s">
        <v>22</v>
      </c>
      <c r="E87" s="132">
        <v>10</v>
      </c>
      <c r="F87" s="145" t="s">
        <v>232</v>
      </c>
      <c r="K87"/>
      <c r="L87"/>
    </row>
    <row r="88" spans="1:12" ht="14.4">
      <c r="A88" s="159" t="s">
        <v>267</v>
      </c>
      <c r="B88" s="139" t="s">
        <v>79</v>
      </c>
      <c r="C88" s="139" t="s">
        <v>1321</v>
      </c>
      <c r="D88" s="51" t="s">
        <v>22</v>
      </c>
      <c r="E88" s="132">
        <v>1</v>
      </c>
      <c r="F88" s="145" t="s">
        <v>232</v>
      </c>
      <c r="K88"/>
      <c r="L88"/>
    </row>
    <row r="89" spans="1:12" ht="14.4">
      <c r="A89" s="159" t="s">
        <v>261</v>
      </c>
      <c r="B89" s="139" t="s">
        <v>124</v>
      </c>
      <c r="C89" s="139" t="s">
        <v>1322</v>
      </c>
      <c r="D89" s="51" t="s">
        <v>22</v>
      </c>
      <c r="E89" s="132">
        <v>15</v>
      </c>
      <c r="F89" s="145" t="s">
        <v>82</v>
      </c>
      <c r="K89"/>
      <c r="L89"/>
    </row>
    <row r="90" spans="1:12" ht="14.4">
      <c r="A90" s="159" t="s">
        <v>264</v>
      </c>
      <c r="B90" s="139" t="s">
        <v>124</v>
      </c>
      <c r="C90" s="139" t="s">
        <v>1322</v>
      </c>
      <c r="D90" s="51" t="s">
        <v>22</v>
      </c>
      <c r="E90" s="132">
        <v>10</v>
      </c>
      <c r="F90" s="145" t="s">
        <v>82</v>
      </c>
      <c r="K90"/>
      <c r="L90"/>
    </row>
    <row r="91" spans="1:12" ht="14.4">
      <c r="A91" s="159" t="s">
        <v>265</v>
      </c>
      <c r="B91" s="139" t="s">
        <v>124</v>
      </c>
      <c r="C91" s="139" t="s">
        <v>1322</v>
      </c>
      <c r="D91" s="51" t="s">
        <v>22</v>
      </c>
      <c r="E91" s="132">
        <v>2</v>
      </c>
      <c r="F91" s="145" t="s">
        <v>82</v>
      </c>
      <c r="K91"/>
      <c r="L91"/>
    </row>
    <row r="92" spans="1:12" ht="14.4">
      <c r="A92" s="159" t="s">
        <v>261</v>
      </c>
      <c r="B92" s="139" t="s">
        <v>1323</v>
      </c>
      <c r="C92" s="139" t="s">
        <v>1324</v>
      </c>
      <c r="D92" s="51" t="s">
        <v>22</v>
      </c>
      <c r="E92" s="132">
        <v>40</v>
      </c>
      <c r="F92" s="145" t="s">
        <v>232</v>
      </c>
      <c r="K92"/>
      <c r="L92"/>
    </row>
    <row r="93" spans="1:12" ht="14.4">
      <c r="A93" s="159" t="s">
        <v>264</v>
      </c>
      <c r="B93" s="139" t="s">
        <v>1323</v>
      </c>
      <c r="C93" s="139" t="s">
        <v>1324</v>
      </c>
      <c r="D93" s="51" t="s">
        <v>22</v>
      </c>
      <c r="E93" s="132">
        <v>10</v>
      </c>
      <c r="F93" s="145" t="s">
        <v>232</v>
      </c>
      <c r="K93"/>
      <c r="L93"/>
    </row>
    <row r="94" spans="1:12" ht="14.4">
      <c r="A94" s="159" t="s">
        <v>265</v>
      </c>
      <c r="B94" s="139" t="s">
        <v>1323</v>
      </c>
      <c r="C94" s="139" t="s">
        <v>1324</v>
      </c>
      <c r="D94" s="51" t="s">
        <v>22</v>
      </c>
      <c r="E94" s="132">
        <v>2</v>
      </c>
      <c r="F94" s="145" t="s">
        <v>232</v>
      </c>
      <c r="K94"/>
      <c r="L94"/>
    </row>
    <row r="95" spans="1:12" ht="14.4">
      <c r="A95" s="159" t="s">
        <v>261</v>
      </c>
      <c r="B95" s="139" t="s">
        <v>1325</v>
      </c>
      <c r="C95" s="139" t="s">
        <v>1326</v>
      </c>
      <c r="D95" s="51" t="s">
        <v>22</v>
      </c>
      <c r="E95" s="132">
        <v>20</v>
      </c>
      <c r="F95" s="145" t="s">
        <v>82</v>
      </c>
      <c r="K95"/>
      <c r="L95"/>
    </row>
    <row r="96" spans="1:12" ht="14.4">
      <c r="A96" s="159" t="s">
        <v>264</v>
      </c>
      <c r="B96" s="139" t="s">
        <v>1327</v>
      </c>
      <c r="C96" s="139" t="s">
        <v>1328</v>
      </c>
      <c r="D96" s="51" t="s">
        <v>22</v>
      </c>
      <c r="E96" s="132">
        <v>5</v>
      </c>
      <c r="F96" s="145" t="s">
        <v>226</v>
      </c>
      <c r="K96"/>
      <c r="L96"/>
    </row>
    <row r="97" spans="1:12" ht="14.4">
      <c r="A97" s="159" t="s">
        <v>261</v>
      </c>
      <c r="B97" s="139" t="s">
        <v>125</v>
      </c>
      <c r="C97" s="139" t="s">
        <v>1329</v>
      </c>
      <c r="D97" s="51" t="s">
        <v>22</v>
      </c>
      <c r="E97" s="132">
        <v>30</v>
      </c>
      <c r="F97" s="145" t="s">
        <v>226</v>
      </c>
      <c r="K97"/>
      <c r="L97"/>
    </row>
    <row r="98" spans="1:12" ht="14.4">
      <c r="A98" s="159" t="s">
        <v>264</v>
      </c>
      <c r="B98" s="139" t="s">
        <v>125</v>
      </c>
      <c r="C98" s="139" t="s">
        <v>1329</v>
      </c>
      <c r="D98" s="51" t="s">
        <v>22</v>
      </c>
      <c r="E98" s="132">
        <v>4</v>
      </c>
      <c r="F98" s="145" t="s">
        <v>226</v>
      </c>
      <c r="K98"/>
      <c r="L98"/>
    </row>
    <row r="99" spans="1:12" ht="22.8">
      <c r="A99" s="159" t="s">
        <v>261</v>
      </c>
      <c r="B99" s="139" t="s">
        <v>1330</v>
      </c>
      <c r="C99" s="139" t="s">
        <v>1331</v>
      </c>
      <c r="D99" s="51" t="s">
        <v>22</v>
      </c>
      <c r="E99" s="132">
        <v>70</v>
      </c>
      <c r="F99" s="145" t="s">
        <v>82</v>
      </c>
      <c r="K99"/>
      <c r="L99"/>
    </row>
    <row r="100" spans="1:12" ht="14.4">
      <c r="A100" s="159" t="s">
        <v>285</v>
      </c>
      <c r="B100" s="139" t="s">
        <v>1332</v>
      </c>
      <c r="C100" s="139" t="s">
        <v>1333</v>
      </c>
      <c r="D100" s="51" t="s">
        <v>22</v>
      </c>
      <c r="E100" s="143">
        <v>130</v>
      </c>
      <c r="F100" s="145" t="s">
        <v>82</v>
      </c>
      <c r="K100"/>
      <c r="L100"/>
    </row>
    <row r="101" spans="1:12" ht="14.4">
      <c r="A101" s="159" t="s">
        <v>264</v>
      </c>
      <c r="B101" s="139" t="s">
        <v>1332</v>
      </c>
      <c r="C101" s="139" t="s">
        <v>1333</v>
      </c>
      <c r="D101" s="51" t="s">
        <v>22</v>
      </c>
      <c r="E101" s="143">
        <v>24</v>
      </c>
      <c r="F101" s="145" t="s">
        <v>82</v>
      </c>
      <c r="K101"/>
      <c r="L101"/>
    </row>
    <row r="102" spans="1:12" ht="14.4">
      <c r="A102" s="159" t="s">
        <v>265</v>
      </c>
      <c r="B102" s="139" t="s">
        <v>1332</v>
      </c>
      <c r="C102" s="139" t="s">
        <v>1333</v>
      </c>
      <c r="D102" s="51" t="s">
        <v>22</v>
      </c>
      <c r="E102" s="143">
        <v>2</v>
      </c>
      <c r="F102" s="145" t="s">
        <v>82</v>
      </c>
      <c r="K102"/>
      <c r="L102"/>
    </row>
    <row r="103" spans="1:12" ht="14.4">
      <c r="A103" s="159" t="s">
        <v>285</v>
      </c>
      <c r="B103" s="139" t="s">
        <v>1334</v>
      </c>
      <c r="C103" s="139" t="s">
        <v>1335</v>
      </c>
      <c r="D103" s="51" t="s">
        <v>22</v>
      </c>
      <c r="E103" s="132">
        <v>15</v>
      </c>
      <c r="F103" s="145" t="s">
        <v>226</v>
      </c>
      <c r="K103"/>
      <c r="L103"/>
    </row>
    <row r="104" spans="1:12" ht="14.4">
      <c r="A104" s="159" t="s">
        <v>264</v>
      </c>
      <c r="B104" s="139" t="s">
        <v>1334</v>
      </c>
      <c r="C104" s="139" t="s">
        <v>1335</v>
      </c>
      <c r="D104" s="51" t="s">
        <v>22</v>
      </c>
      <c r="E104" s="132">
        <v>4</v>
      </c>
      <c r="F104" s="145" t="s">
        <v>226</v>
      </c>
      <c r="K104"/>
      <c r="L104"/>
    </row>
    <row r="105" spans="1:12" ht="14.4">
      <c r="A105" s="159" t="s">
        <v>265</v>
      </c>
      <c r="B105" s="139" t="s">
        <v>1334</v>
      </c>
      <c r="C105" s="139" t="s">
        <v>1335</v>
      </c>
      <c r="D105" s="51" t="s">
        <v>22</v>
      </c>
      <c r="E105" s="132">
        <v>1</v>
      </c>
      <c r="F105" s="145" t="s">
        <v>226</v>
      </c>
      <c r="K105"/>
      <c r="L105"/>
    </row>
    <row r="106" spans="1:12" ht="14.4">
      <c r="A106" s="159" t="s">
        <v>285</v>
      </c>
      <c r="B106" s="139" t="s">
        <v>1336</v>
      </c>
      <c r="C106" s="139" t="s">
        <v>1337</v>
      </c>
      <c r="D106" s="51" t="s">
        <v>22</v>
      </c>
      <c r="E106" s="132">
        <v>112</v>
      </c>
      <c r="F106" s="145" t="s">
        <v>226</v>
      </c>
      <c r="K106"/>
      <c r="L106"/>
    </row>
    <row r="107" spans="1:12" ht="14.4">
      <c r="A107" s="159" t="s">
        <v>264</v>
      </c>
      <c r="B107" s="139" t="s">
        <v>1336</v>
      </c>
      <c r="C107" s="139" t="s">
        <v>1337</v>
      </c>
      <c r="D107" s="51" t="s">
        <v>22</v>
      </c>
      <c r="E107" s="132">
        <v>21</v>
      </c>
      <c r="F107" s="145" t="s">
        <v>226</v>
      </c>
      <c r="K107"/>
      <c r="L107"/>
    </row>
    <row r="108" spans="1:12" ht="14.4">
      <c r="A108" s="159" t="s">
        <v>265</v>
      </c>
      <c r="B108" s="139" t="s">
        <v>1336</v>
      </c>
      <c r="C108" s="139" t="s">
        <v>1337</v>
      </c>
      <c r="D108" s="51" t="s">
        <v>22</v>
      </c>
      <c r="E108" s="132">
        <v>7</v>
      </c>
      <c r="F108" s="145" t="s">
        <v>226</v>
      </c>
      <c r="K108"/>
      <c r="L108"/>
    </row>
    <row r="109" spans="1:12" ht="22.8">
      <c r="A109" s="159" t="s">
        <v>285</v>
      </c>
      <c r="B109" s="139" t="s">
        <v>1338</v>
      </c>
      <c r="C109" s="139" t="s">
        <v>1339</v>
      </c>
      <c r="D109" s="51" t="s">
        <v>35</v>
      </c>
      <c r="E109" s="132">
        <v>30</v>
      </c>
      <c r="F109" s="145" t="s">
        <v>226</v>
      </c>
      <c r="K109"/>
      <c r="L109"/>
    </row>
    <row r="110" spans="1:12" ht="22.8">
      <c r="A110" s="159" t="s">
        <v>264</v>
      </c>
      <c r="B110" s="139" t="s">
        <v>1338</v>
      </c>
      <c r="C110" s="139" t="s">
        <v>1339</v>
      </c>
      <c r="D110" s="51" t="s">
        <v>35</v>
      </c>
      <c r="E110" s="132">
        <v>2</v>
      </c>
      <c r="F110" s="145" t="s">
        <v>226</v>
      </c>
      <c r="K110"/>
      <c r="L110"/>
    </row>
    <row r="111" spans="1:12" ht="22.8">
      <c r="A111" s="159" t="s">
        <v>265</v>
      </c>
      <c r="B111" s="139" t="s">
        <v>1338</v>
      </c>
      <c r="C111" s="139" t="s">
        <v>1339</v>
      </c>
      <c r="D111" s="51" t="s">
        <v>35</v>
      </c>
      <c r="E111" s="132">
        <v>1</v>
      </c>
      <c r="F111" s="145" t="s">
        <v>226</v>
      </c>
      <c r="K111"/>
      <c r="L111"/>
    </row>
    <row r="112" spans="1:12" ht="14.4">
      <c r="K112"/>
      <c r="L112"/>
    </row>
    <row r="113" spans="11:12" ht="14.4">
      <c r="K113"/>
      <c r="L113"/>
    </row>
    <row r="114" spans="11:12" ht="14.4">
      <c r="K114"/>
      <c r="L114"/>
    </row>
    <row r="115" spans="11:12" ht="14.4">
      <c r="K115"/>
      <c r="L115"/>
    </row>
    <row r="116" spans="11:12" ht="14.4">
      <c r="K116"/>
      <c r="L116"/>
    </row>
    <row r="117" spans="11:12" ht="14.4">
      <c r="K117"/>
      <c r="L117"/>
    </row>
    <row r="118" spans="11:12" ht="14.4">
      <c r="K118"/>
      <c r="L118"/>
    </row>
    <row r="119" spans="11:12" ht="14.4">
      <c r="K119"/>
      <c r="L119"/>
    </row>
    <row r="120" spans="11:12" ht="14.4">
      <c r="K120"/>
      <c r="L120"/>
    </row>
    <row r="121" spans="11:12" ht="14.4">
      <c r="K121"/>
      <c r="L121"/>
    </row>
    <row r="122" spans="11:12" ht="14.4">
      <c r="K122"/>
      <c r="L122"/>
    </row>
    <row r="123" spans="11:12" ht="14.4">
      <c r="K123"/>
      <c r="L123"/>
    </row>
    <row r="124" spans="11:12" ht="14.4">
      <c r="K124"/>
      <c r="L124"/>
    </row>
    <row r="125" spans="11:12" ht="14.4">
      <c r="K125"/>
      <c r="L125"/>
    </row>
    <row r="126" spans="11:12" ht="14.4">
      <c r="K126"/>
      <c r="L126"/>
    </row>
    <row r="127" spans="11:12" ht="14.4">
      <c r="K127"/>
      <c r="L127"/>
    </row>
    <row r="128" spans="11:12" ht="14.4">
      <c r="K128"/>
      <c r="L128"/>
    </row>
    <row r="129" spans="11:12" ht="14.4">
      <c r="K129"/>
      <c r="L129"/>
    </row>
    <row r="130" spans="11:12" ht="14.4">
      <c r="K130"/>
      <c r="L130"/>
    </row>
    <row r="131" spans="11:12" ht="14.4">
      <c r="K131"/>
      <c r="L131"/>
    </row>
    <row r="132" spans="11:12" ht="14.4">
      <c r="K132"/>
      <c r="L132"/>
    </row>
    <row r="133" spans="11:12" ht="14.4">
      <c r="K133"/>
      <c r="L133"/>
    </row>
    <row r="134" spans="11:12" ht="14.4">
      <c r="K134"/>
      <c r="L134"/>
    </row>
    <row r="135" spans="11:12" ht="14.4">
      <c r="K135"/>
      <c r="L135"/>
    </row>
    <row r="136" spans="11:12" ht="14.4">
      <c r="K136"/>
      <c r="L136"/>
    </row>
    <row r="137" spans="11:12" ht="14.4">
      <c r="K137"/>
      <c r="L137"/>
    </row>
    <row r="138" spans="11:12" ht="14.4">
      <c r="K138"/>
      <c r="L138"/>
    </row>
    <row r="139" spans="11:12" ht="14.4">
      <c r="K139"/>
      <c r="L139"/>
    </row>
    <row r="140" spans="11:12" ht="14.4">
      <c r="K140"/>
      <c r="L140"/>
    </row>
    <row r="141" spans="11:12" ht="14.4">
      <c r="K141"/>
      <c r="L141"/>
    </row>
    <row r="142" spans="11:12" ht="14.4">
      <c r="K142"/>
      <c r="L142"/>
    </row>
    <row r="143" spans="11:12" ht="14.4">
      <c r="K143"/>
      <c r="L143"/>
    </row>
    <row r="144" spans="11:12" ht="14.4">
      <c r="K144"/>
      <c r="L144"/>
    </row>
    <row r="145" spans="11:12" ht="14.4">
      <c r="K145"/>
      <c r="L145"/>
    </row>
    <row r="146" spans="11:12" ht="14.4">
      <c r="K146"/>
      <c r="L146"/>
    </row>
    <row r="147" spans="11:12" ht="14.4">
      <c r="K147"/>
      <c r="L147"/>
    </row>
    <row r="148" spans="11:12" ht="14.4">
      <c r="K148"/>
      <c r="L148"/>
    </row>
    <row r="149" spans="11:12" ht="14.4">
      <c r="K149"/>
      <c r="L149"/>
    </row>
    <row r="150" spans="11:12" ht="14.4">
      <c r="K150"/>
      <c r="L150"/>
    </row>
    <row r="151" spans="11:12" ht="14.4">
      <c r="K151"/>
      <c r="L151"/>
    </row>
    <row r="152" spans="11:12" ht="14.4">
      <c r="K152"/>
      <c r="L152"/>
    </row>
    <row r="153" spans="11:12" ht="14.4">
      <c r="K153"/>
      <c r="L153"/>
    </row>
    <row r="154" spans="11:12" ht="14.4">
      <c r="K154"/>
      <c r="L154"/>
    </row>
    <row r="155" spans="11:12" ht="14.4">
      <c r="K155"/>
      <c r="L155"/>
    </row>
    <row r="156" spans="11:12" ht="14.4">
      <c r="K156"/>
      <c r="L156"/>
    </row>
    <row r="157" spans="11:12" ht="14.4">
      <c r="K157"/>
      <c r="L157"/>
    </row>
    <row r="158" spans="11:12" ht="14.4">
      <c r="K158"/>
      <c r="L158"/>
    </row>
    <row r="159" spans="11:12" ht="14.4">
      <c r="K159"/>
      <c r="L159"/>
    </row>
    <row r="160" spans="11:12" ht="14.4">
      <c r="K160"/>
      <c r="L160"/>
    </row>
    <row r="161" spans="11:12" ht="14.4">
      <c r="K161"/>
      <c r="L161"/>
    </row>
    <row r="162" spans="11:12" ht="14.4">
      <c r="K162"/>
      <c r="L162"/>
    </row>
    <row r="163" spans="11:12" ht="14.4">
      <c r="K163"/>
      <c r="L163"/>
    </row>
    <row r="164" spans="11:12" ht="14.4">
      <c r="K164"/>
      <c r="L164"/>
    </row>
    <row r="165" spans="11:12" ht="14.4">
      <c r="K165"/>
      <c r="L165"/>
    </row>
    <row r="166" spans="11:12" ht="14.4">
      <c r="K166"/>
      <c r="L166"/>
    </row>
    <row r="167" spans="11:12" ht="14.4">
      <c r="K167"/>
      <c r="L167"/>
    </row>
    <row r="168" spans="11:12" ht="14.4">
      <c r="K168"/>
      <c r="L168"/>
    </row>
    <row r="169" spans="11:12" ht="14.4">
      <c r="K169"/>
      <c r="L169"/>
    </row>
    <row r="170" spans="11:12" ht="14.4">
      <c r="K170"/>
      <c r="L170"/>
    </row>
    <row r="171" spans="11:12" ht="14.4">
      <c r="K171"/>
      <c r="L171"/>
    </row>
    <row r="172" spans="11:12" ht="14.4">
      <c r="K172"/>
      <c r="L172"/>
    </row>
    <row r="173" spans="11:12" ht="14.4">
      <c r="K173"/>
      <c r="L173"/>
    </row>
    <row r="174" spans="11:12" ht="14.4">
      <c r="K174"/>
      <c r="L174"/>
    </row>
    <row r="175" spans="11:12" ht="14.4">
      <c r="K175"/>
      <c r="L175"/>
    </row>
    <row r="176" spans="11:12" ht="14.4">
      <c r="K176"/>
      <c r="L176"/>
    </row>
    <row r="177" spans="11:12" ht="14.4">
      <c r="K177"/>
      <c r="L177"/>
    </row>
    <row r="178" spans="11:12" ht="14.4">
      <c r="K178"/>
      <c r="L178"/>
    </row>
    <row r="179" spans="11:12" ht="14.4">
      <c r="K179"/>
      <c r="L179"/>
    </row>
    <row r="180" spans="11:12" ht="14.4">
      <c r="K180"/>
      <c r="L180"/>
    </row>
    <row r="181" spans="11:12" ht="14.4">
      <c r="K181"/>
      <c r="L181"/>
    </row>
    <row r="182" spans="11:12" ht="14.4">
      <c r="K182"/>
      <c r="L182"/>
    </row>
    <row r="183" spans="11:12" ht="14.4">
      <c r="K183"/>
      <c r="L183"/>
    </row>
    <row r="184" spans="11:12" ht="14.4">
      <c r="K184"/>
      <c r="L184"/>
    </row>
    <row r="185" spans="11:12" ht="14.4">
      <c r="K185"/>
      <c r="L185"/>
    </row>
    <row r="186" spans="11:12" ht="14.4">
      <c r="K186"/>
      <c r="L186"/>
    </row>
    <row r="187" spans="11:12" ht="14.4">
      <c r="K187"/>
      <c r="L187"/>
    </row>
    <row r="188" spans="11:12" ht="14.4">
      <c r="K188"/>
      <c r="L188"/>
    </row>
    <row r="189" spans="11:12" ht="14.4">
      <c r="K189"/>
      <c r="L189"/>
    </row>
    <row r="190" spans="11:12" ht="14.4">
      <c r="K190"/>
      <c r="L190"/>
    </row>
    <row r="191" spans="11:12" ht="14.4">
      <c r="K191"/>
      <c r="L191"/>
    </row>
    <row r="192" spans="11:12" ht="14.4">
      <c r="K192"/>
      <c r="L192"/>
    </row>
    <row r="193" spans="11:12" ht="14.4">
      <c r="K193"/>
      <c r="L193"/>
    </row>
    <row r="194" spans="11:12" ht="14.4">
      <c r="K194"/>
      <c r="L194"/>
    </row>
    <row r="195" spans="11:12" ht="14.4">
      <c r="K195"/>
      <c r="L195"/>
    </row>
    <row r="196" spans="11:12" ht="14.4">
      <c r="K196"/>
      <c r="L196"/>
    </row>
    <row r="197" spans="11:12" ht="14.4">
      <c r="K197"/>
      <c r="L197"/>
    </row>
    <row r="198" spans="11:12" ht="14.4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defaultColWidth="9" defaultRowHeight="14.4"/>
  <cols>
    <col min="1" max="1" width="11.77734375" customWidth="1"/>
    <col min="2" max="2" width="13.21875" customWidth="1"/>
    <col min="3" max="3" width="12.21875" customWidth="1"/>
    <col min="4" max="4" width="17.44140625" customWidth="1"/>
    <col min="6" max="6" width="11" customWidth="1"/>
    <col min="7" max="7" width="14.44140625" customWidth="1"/>
    <col min="8" max="8" width="11.21875" customWidth="1"/>
    <col min="9" max="9" width="10.21875" customWidth="1"/>
    <col min="10" max="10" width="15.44140625" customWidth="1"/>
    <col min="11" max="11" width="10.77734375" customWidth="1"/>
    <col min="12" max="12" width="14" customWidth="1"/>
    <col min="13" max="13" width="9.21875" customWidth="1"/>
    <col min="14" max="14" width="8.21875" customWidth="1"/>
    <col min="15" max="15" width="10.21875" customWidth="1"/>
    <col min="16" max="16" width="8.77734375" customWidth="1"/>
    <col min="17" max="17" width="9.77734375" customWidth="1"/>
    <col min="18" max="18" width="8.77734375" customWidth="1"/>
    <col min="19" max="19" width="9" customWidth="1"/>
    <col min="20" max="20" width="6.77734375" customWidth="1"/>
    <col min="21" max="22" width="7.21875" customWidth="1"/>
    <col min="23" max="23" width="13.21875" bestFit="1" customWidth="1"/>
    <col min="24" max="24" width="5.77734375" bestFit="1" customWidth="1"/>
  </cols>
  <sheetData>
    <row r="1" spans="1:24" ht="20.399999999999999">
      <c r="A1" s="98" t="s">
        <v>166</v>
      </c>
      <c r="B1" s="99" t="s">
        <v>245</v>
      </c>
      <c r="C1" s="100" t="s">
        <v>246</v>
      </c>
      <c r="D1" s="100" t="s">
        <v>193</v>
      </c>
      <c r="E1" s="101" t="s">
        <v>247</v>
      </c>
      <c r="F1" s="102" t="s">
        <v>196</v>
      </c>
      <c r="G1" s="100" t="s">
        <v>248</v>
      </c>
    </row>
    <row r="2" spans="1:24">
      <c r="A2" s="159" t="s">
        <v>261</v>
      </c>
      <c r="B2" s="114" t="s">
        <v>280</v>
      </c>
      <c r="C2" s="169">
        <v>110066</v>
      </c>
      <c r="D2" s="156" t="s">
        <v>17</v>
      </c>
      <c r="E2" s="157">
        <v>44200</v>
      </c>
      <c r="F2" s="157" t="s">
        <v>1340</v>
      </c>
      <c r="G2" s="171">
        <v>200</v>
      </c>
    </row>
    <row r="3" spans="1:24" ht="30.6">
      <c r="A3" s="159" t="s">
        <v>261</v>
      </c>
      <c r="B3" s="114" t="s">
        <v>280</v>
      </c>
      <c r="C3" s="169">
        <v>110230</v>
      </c>
      <c r="D3" s="156" t="s">
        <v>34</v>
      </c>
      <c r="E3" s="157" t="s">
        <v>1341</v>
      </c>
      <c r="F3" s="170" t="s">
        <v>1340</v>
      </c>
      <c r="G3" s="171">
        <v>200</v>
      </c>
    </row>
    <row r="4" spans="1:24" ht="30.6">
      <c r="A4" s="159" t="s">
        <v>264</v>
      </c>
      <c r="B4" s="114" t="s">
        <v>281</v>
      </c>
      <c r="C4" s="169">
        <v>110230</v>
      </c>
      <c r="D4" s="156" t="s">
        <v>34</v>
      </c>
      <c r="E4" s="157" t="s">
        <v>1341</v>
      </c>
      <c r="F4" s="170" t="s">
        <v>1340</v>
      </c>
      <c r="G4" s="171">
        <v>60</v>
      </c>
    </row>
    <row r="5" spans="1:24" ht="30.6">
      <c r="A5" s="159" t="s">
        <v>265</v>
      </c>
      <c r="B5" s="114" t="s">
        <v>282</v>
      </c>
      <c r="C5" s="169">
        <v>110230</v>
      </c>
      <c r="D5" s="156" t="s">
        <v>34</v>
      </c>
      <c r="E5" s="157" t="s">
        <v>1341</v>
      </c>
      <c r="F5" s="170" t="s">
        <v>1340</v>
      </c>
      <c r="G5" s="171">
        <v>10</v>
      </c>
    </row>
    <row r="6" spans="1:24" ht="30.6">
      <c r="A6" s="159" t="s">
        <v>266</v>
      </c>
      <c r="B6" s="114" t="s">
        <v>286</v>
      </c>
      <c r="C6" s="169">
        <v>110230</v>
      </c>
      <c r="D6" s="156" t="s">
        <v>34</v>
      </c>
      <c r="E6" s="157" t="s">
        <v>1341</v>
      </c>
      <c r="F6" s="170" t="s">
        <v>1340</v>
      </c>
      <c r="G6" s="171">
        <v>5</v>
      </c>
    </row>
    <row r="7" spans="1:24">
      <c r="A7" s="159" t="s">
        <v>261</v>
      </c>
      <c r="B7" s="114" t="s">
        <v>280</v>
      </c>
      <c r="C7" s="169">
        <v>110096</v>
      </c>
      <c r="D7" s="156" t="s">
        <v>34</v>
      </c>
      <c r="E7" s="157">
        <v>44218</v>
      </c>
      <c r="F7" s="170" t="s">
        <v>1340</v>
      </c>
      <c r="G7" s="171">
        <v>200</v>
      </c>
      <c r="M7" s="262" t="s">
        <v>3</v>
      </c>
    </row>
    <row r="8" spans="1:24">
      <c r="A8" s="159" t="s">
        <v>264</v>
      </c>
      <c r="B8" s="114" t="s">
        <v>281</v>
      </c>
      <c r="C8" s="169">
        <v>110096</v>
      </c>
      <c r="D8" s="156" t="s">
        <v>34</v>
      </c>
      <c r="E8" s="157">
        <v>44218</v>
      </c>
      <c r="F8" s="170" t="s">
        <v>1340</v>
      </c>
      <c r="G8" s="171">
        <v>60</v>
      </c>
      <c r="J8" s="262" t="s">
        <v>1342</v>
      </c>
      <c r="K8" s="262" t="s">
        <v>2</v>
      </c>
      <c r="L8" s="262" t="s">
        <v>1343</v>
      </c>
      <c r="M8" t="s">
        <v>264</v>
      </c>
      <c r="N8" t="s">
        <v>265</v>
      </c>
      <c r="O8" t="s">
        <v>266</v>
      </c>
      <c r="P8" t="s">
        <v>267</v>
      </c>
      <c r="Q8" t="s">
        <v>268</v>
      </c>
      <c r="R8" t="s">
        <v>261</v>
      </c>
      <c r="S8" t="s">
        <v>273</v>
      </c>
      <c r="T8" t="s">
        <v>274</v>
      </c>
      <c r="U8" t="s">
        <v>275</v>
      </c>
      <c r="V8" t="s">
        <v>276</v>
      </c>
      <c r="W8" t="s">
        <v>272</v>
      </c>
      <c r="X8" t="s">
        <v>148</v>
      </c>
    </row>
    <row r="9" spans="1:24">
      <c r="A9" s="159" t="s">
        <v>261</v>
      </c>
      <c r="B9" s="114" t="s">
        <v>280</v>
      </c>
      <c r="C9" s="169">
        <v>110105</v>
      </c>
      <c r="D9" s="156" t="s">
        <v>1065</v>
      </c>
      <c r="E9" s="157">
        <v>44212</v>
      </c>
      <c r="F9" s="170" t="s">
        <v>1340</v>
      </c>
      <c r="G9" s="171">
        <v>300</v>
      </c>
      <c r="J9">
        <v>110066</v>
      </c>
      <c r="K9" t="s">
        <v>17</v>
      </c>
      <c r="L9">
        <v>44200</v>
      </c>
    </row>
    <row r="10" spans="1:24">
      <c r="A10" s="159" t="s">
        <v>264</v>
      </c>
      <c r="B10" s="114" t="s">
        <v>281</v>
      </c>
      <c r="C10" s="169">
        <v>110105</v>
      </c>
      <c r="D10" s="156" t="s">
        <v>1065</v>
      </c>
      <c r="E10" s="157">
        <v>44212</v>
      </c>
      <c r="F10" s="170" t="s">
        <v>1340</v>
      </c>
      <c r="G10" s="171">
        <v>30</v>
      </c>
      <c r="J10">
        <v>110096</v>
      </c>
      <c r="K10" t="s">
        <v>34</v>
      </c>
      <c r="L10">
        <v>44218</v>
      </c>
    </row>
    <row r="11" spans="1:24">
      <c r="A11" s="159" t="s">
        <v>265</v>
      </c>
      <c r="B11" s="114" t="s">
        <v>282</v>
      </c>
      <c r="C11" s="169">
        <v>110105</v>
      </c>
      <c r="D11" s="156" t="s">
        <v>1065</v>
      </c>
      <c r="E11" s="157">
        <v>44212</v>
      </c>
      <c r="F11" s="170" t="s">
        <v>1340</v>
      </c>
      <c r="G11" s="171">
        <v>10</v>
      </c>
      <c r="J11">
        <v>110105</v>
      </c>
      <c r="K11" t="s">
        <v>1065</v>
      </c>
      <c r="L11">
        <v>44212</v>
      </c>
    </row>
    <row r="12" spans="1:24">
      <c r="A12" s="159" t="s">
        <v>268</v>
      </c>
      <c r="B12" s="114" t="s">
        <v>292</v>
      </c>
      <c r="C12" s="169">
        <v>110105</v>
      </c>
      <c r="D12" s="156" t="s">
        <v>1065</v>
      </c>
      <c r="E12" s="157">
        <v>44212</v>
      </c>
      <c r="F12" s="170" t="s">
        <v>1340</v>
      </c>
      <c r="G12" s="171">
        <v>1</v>
      </c>
      <c r="J12">
        <v>110106</v>
      </c>
      <c r="K12" t="s">
        <v>1065</v>
      </c>
      <c r="L12">
        <v>44212</v>
      </c>
    </row>
    <row r="13" spans="1:24">
      <c r="A13" s="159" t="s">
        <v>261</v>
      </c>
      <c r="B13" s="114" t="s">
        <v>280</v>
      </c>
      <c r="C13" s="169">
        <v>110106</v>
      </c>
      <c r="D13" s="156" t="s">
        <v>1065</v>
      </c>
      <c r="E13" s="157">
        <v>44212</v>
      </c>
      <c r="F13" s="170" t="s">
        <v>1340</v>
      </c>
      <c r="G13" s="171">
        <v>300</v>
      </c>
      <c r="J13">
        <v>110107</v>
      </c>
      <c r="K13" t="s">
        <v>118</v>
      </c>
      <c r="L13">
        <v>44221</v>
      </c>
    </row>
    <row r="14" spans="1:24">
      <c r="A14" s="159" t="s">
        <v>264</v>
      </c>
      <c r="B14" s="114" t="s">
        <v>281</v>
      </c>
      <c r="C14" s="169">
        <v>110106</v>
      </c>
      <c r="D14" s="156" t="s">
        <v>1065</v>
      </c>
      <c r="E14" s="157">
        <v>44212</v>
      </c>
      <c r="F14" s="170" t="s">
        <v>1340</v>
      </c>
      <c r="G14" s="171">
        <v>60</v>
      </c>
      <c r="J14">
        <v>110130</v>
      </c>
      <c r="K14" t="s">
        <v>17</v>
      </c>
      <c r="L14">
        <v>44233</v>
      </c>
    </row>
    <row r="15" spans="1:24">
      <c r="A15" s="159" t="s">
        <v>261</v>
      </c>
      <c r="B15" s="114" t="s">
        <v>280</v>
      </c>
      <c r="C15" s="169">
        <v>110107</v>
      </c>
      <c r="D15" s="156" t="s">
        <v>118</v>
      </c>
      <c r="E15" s="157">
        <v>44221</v>
      </c>
      <c r="F15" s="170" t="s">
        <v>1340</v>
      </c>
      <c r="G15" s="171">
        <v>200</v>
      </c>
      <c r="J15">
        <v>110131</v>
      </c>
      <c r="K15" t="s">
        <v>17</v>
      </c>
      <c r="L15" t="s">
        <v>1344</v>
      </c>
    </row>
    <row r="16" spans="1:24">
      <c r="A16" s="159" t="s">
        <v>264</v>
      </c>
      <c r="B16" s="114" t="s">
        <v>281</v>
      </c>
      <c r="C16" s="169">
        <v>110107</v>
      </c>
      <c r="D16" s="156" t="s">
        <v>118</v>
      </c>
      <c r="E16" s="157">
        <v>44221</v>
      </c>
      <c r="F16" s="170" t="s">
        <v>1340</v>
      </c>
      <c r="G16" s="171">
        <v>20</v>
      </c>
      <c r="J16">
        <v>110132</v>
      </c>
      <c r="K16" t="s">
        <v>17</v>
      </c>
      <c r="L16">
        <v>44233</v>
      </c>
    </row>
    <row r="17" spans="1:12">
      <c r="A17" s="159" t="s">
        <v>265</v>
      </c>
      <c r="B17" s="114" t="s">
        <v>282</v>
      </c>
      <c r="C17" s="169">
        <v>110107</v>
      </c>
      <c r="D17" s="156" t="s">
        <v>118</v>
      </c>
      <c r="E17" s="157">
        <v>44221</v>
      </c>
      <c r="F17" s="170" t="s">
        <v>1340</v>
      </c>
      <c r="G17" s="171">
        <v>5</v>
      </c>
      <c r="J17">
        <v>110133</v>
      </c>
      <c r="K17" t="s">
        <v>17</v>
      </c>
      <c r="L17">
        <v>44233</v>
      </c>
    </row>
    <row r="18" spans="1:12">
      <c r="A18" s="159" t="s">
        <v>261</v>
      </c>
      <c r="B18" s="114" t="s">
        <v>280</v>
      </c>
      <c r="C18" s="169">
        <v>110199</v>
      </c>
      <c r="D18" s="156" t="s">
        <v>17</v>
      </c>
      <c r="E18" s="157">
        <v>44218</v>
      </c>
      <c r="F18" s="170" t="s">
        <v>1340</v>
      </c>
      <c r="G18" s="171">
        <v>200</v>
      </c>
      <c r="J18">
        <v>110150</v>
      </c>
      <c r="K18" t="s">
        <v>17</v>
      </c>
      <c r="L18" t="s">
        <v>1345</v>
      </c>
    </row>
    <row r="19" spans="1:12">
      <c r="A19" s="159" t="s">
        <v>264</v>
      </c>
      <c r="B19" s="114" t="s">
        <v>281</v>
      </c>
      <c r="C19" s="169">
        <v>110199</v>
      </c>
      <c r="D19" s="156" t="s">
        <v>17</v>
      </c>
      <c r="E19" s="157">
        <v>44218</v>
      </c>
      <c r="F19" s="170" t="s">
        <v>1340</v>
      </c>
      <c r="G19" s="171">
        <v>30</v>
      </c>
      <c r="J19">
        <v>110151</v>
      </c>
      <c r="K19" t="s">
        <v>17</v>
      </c>
      <c r="L19" t="s">
        <v>1346</v>
      </c>
    </row>
    <row r="20" spans="1:12">
      <c r="A20" s="159" t="s">
        <v>261</v>
      </c>
      <c r="B20" s="114" t="s">
        <v>280</v>
      </c>
      <c r="C20" s="169">
        <v>110130</v>
      </c>
      <c r="D20" s="156" t="s">
        <v>17</v>
      </c>
      <c r="E20" s="157">
        <v>44233</v>
      </c>
      <c r="F20" s="170" t="s">
        <v>1340</v>
      </c>
      <c r="G20" s="171">
        <v>200</v>
      </c>
      <c r="J20">
        <v>110153</v>
      </c>
      <c r="K20" t="s">
        <v>17</v>
      </c>
      <c r="L20" t="s">
        <v>21</v>
      </c>
    </row>
    <row r="21" spans="1:12">
      <c r="A21" s="159" t="s">
        <v>264</v>
      </c>
      <c r="B21" s="114" t="s">
        <v>281</v>
      </c>
      <c r="C21" s="169">
        <v>110130</v>
      </c>
      <c r="D21" s="156" t="s">
        <v>17</v>
      </c>
      <c r="E21" s="157">
        <v>44233</v>
      </c>
      <c r="F21" s="170" t="s">
        <v>1340</v>
      </c>
      <c r="G21" s="171">
        <v>100</v>
      </c>
      <c r="J21">
        <v>110172</v>
      </c>
      <c r="K21" t="s">
        <v>36</v>
      </c>
      <c r="L21" t="s">
        <v>1347</v>
      </c>
    </row>
    <row r="22" spans="1:12" ht="20.399999999999999">
      <c r="A22" s="159" t="s">
        <v>261</v>
      </c>
      <c r="B22" s="114" t="s">
        <v>280</v>
      </c>
      <c r="C22" s="169">
        <v>110131</v>
      </c>
      <c r="D22" s="156" t="s">
        <v>17</v>
      </c>
      <c r="E22" s="157" t="s">
        <v>1344</v>
      </c>
      <c r="F22" s="170" t="s">
        <v>279</v>
      </c>
      <c r="G22" s="171">
        <v>200</v>
      </c>
      <c r="J22">
        <v>110173</v>
      </c>
      <c r="K22" t="s">
        <v>36</v>
      </c>
      <c r="L22" t="s">
        <v>1348</v>
      </c>
    </row>
    <row r="23" spans="1:12">
      <c r="A23" s="159" t="s">
        <v>261</v>
      </c>
      <c r="B23" s="114" t="s">
        <v>280</v>
      </c>
      <c r="C23" s="169">
        <v>110132</v>
      </c>
      <c r="D23" s="156" t="s">
        <v>17</v>
      </c>
      <c r="E23" s="157">
        <v>44233</v>
      </c>
      <c r="F23" s="170" t="s">
        <v>1340</v>
      </c>
      <c r="G23" s="171">
        <v>350</v>
      </c>
      <c r="J23">
        <v>110174</v>
      </c>
      <c r="K23" t="s">
        <v>36</v>
      </c>
      <c r="L23" t="s">
        <v>1349</v>
      </c>
    </row>
    <row r="24" spans="1:12">
      <c r="A24" s="159" t="s">
        <v>264</v>
      </c>
      <c r="B24" s="114" t="s">
        <v>281</v>
      </c>
      <c r="C24" s="169">
        <v>110132</v>
      </c>
      <c r="D24" s="156" t="s">
        <v>17</v>
      </c>
      <c r="E24" s="157">
        <v>44233</v>
      </c>
      <c r="F24" s="170" t="s">
        <v>1340</v>
      </c>
      <c r="G24" s="171">
        <v>50</v>
      </c>
      <c r="J24">
        <v>110175</v>
      </c>
      <c r="K24" t="s">
        <v>36</v>
      </c>
      <c r="L24" t="s">
        <v>1350</v>
      </c>
    </row>
    <row r="25" spans="1:12">
      <c r="A25" s="159" t="s">
        <v>265</v>
      </c>
      <c r="B25" s="114" t="s">
        <v>282</v>
      </c>
      <c r="C25" s="169">
        <v>110132</v>
      </c>
      <c r="D25" s="156" t="s">
        <v>17</v>
      </c>
      <c r="E25" s="157">
        <v>44233</v>
      </c>
      <c r="F25" s="170" t="s">
        <v>1340</v>
      </c>
      <c r="G25" s="171">
        <v>5</v>
      </c>
      <c r="J25">
        <v>110176</v>
      </c>
      <c r="K25" t="s">
        <v>36</v>
      </c>
      <c r="L25" t="s">
        <v>1351</v>
      </c>
    </row>
    <row r="26" spans="1:12">
      <c r="A26" s="159" t="s">
        <v>268</v>
      </c>
      <c r="B26" s="114" t="s">
        <v>292</v>
      </c>
      <c r="C26" s="169">
        <v>110132</v>
      </c>
      <c r="D26" s="156" t="s">
        <v>17</v>
      </c>
      <c r="E26" s="157">
        <v>44233</v>
      </c>
      <c r="F26" s="170" t="s">
        <v>1340</v>
      </c>
      <c r="G26" s="171">
        <v>2</v>
      </c>
      <c r="J26">
        <v>110199</v>
      </c>
      <c r="K26" t="s">
        <v>17</v>
      </c>
      <c r="L26">
        <v>44218</v>
      </c>
    </row>
    <row r="27" spans="1:12">
      <c r="A27" s="159" t="s">
        <v>261</v>
      </c>
      <c r="B27" s="114" t="s">
        <v>280</v>
      </c>
      <c r="C27" s="169">
        <v>110133</v>
      </c>
      <c r="D27" s="156" t="s">
        <v>17</v>
      </c>
      <c r="E27" s="157">
        <v>44233</v>
      </c>
      <c r="F27" s="170" t="s">
        <v>1340</v>
      </c>
      <c r="G27" s="171">
        <v>250</v>
      </c>
      <c r="J27">
        <v>110210</v>
      </c>
      <c r="K27" t="s">
        <v>45</v>
      </c>
      <c r="L27" t="s">
        <v>1352</v>
      </c>
    </row>
    <row r="28" spans="1:12">
      <c r="A28" s="159" t="s">
        <v>261</v>
      </c>
      <c r="B28" s="114" t="s">
        <v>280</v>
      </c>
      <c r="C28" s="169">
        <v>110150</v>
      </c>
      <c r="D28" s="156" t="s">
        <v>17</v>
      </c>
      <c r="E28" s="157" t="s">
        <v>1345</v>
      </c>
      <c r="F28" s="170" t="s">
        <v>279</v>
      </c>
      <c r="G28" s="171">
        <v>250</v>
      </c>
      <c r="J28">
        <v>110211</v>
      </c>
      <c r="K28" t="s">
        <v>17</v>
      </c>
      <c r="L28" t="s">
        <v>21</v>
      </c>
    </row>
    <row r="29" spans="1:12">
      <c r="A29" s="159" t="s">
        <v>264</v>
      </c>
      <c r="B29" s="114" t="s">
        <v>281</v>
      </c>
      <c r="C29" s="169">
        <v>110150</v>
      </c>
      <c r="D29" s="156" t="s">
        <v>17</v>
      </c>
      <c r="E29" s="157" t="s">
        <v>1345</v>
      </c>
      <c r="F29" s="170" t="s">
        <v>279</v>
      </c>
      <c r="G29" s="171">
        <v>30</v>
      </c>
      <c r="J29">
        <v>110212</v>
      </c>
      <c r="K29" t="s">
        <v>17</v>
      </c>
      <c r="L29" t="s">
        <v>21</v>
      </c>
    </row>
    <row r="30" spans="1:12" ht="20.399999999999999">
      <c r="A30" s="159" t="s">
        <v>261</v>
      </c>
      <c r="B30" s="114" t="s">
        <v>280</v>
      </c>
      <c r="C30" s="169">
        <v>110151</v>
      </c>
      <c r="D30" s="156" t="s">
        <v>17</v>
      </c>
      <c r="E30" s="157" t="s">
        <v>1346</v>
      </c>
      <c r="F30" s="170" t="s">
        <v>279</v>
      </c>
      <c r="G30" s="171">
        <v>250</v>
      </c>
      <c r="J30" s="264">
        <v>110227</v>
      </c>
      <c r="K30" t="s">
        <v>97</v>
      </c>
      <c r="L30" t="s">
        <v>21</v>
      </c>
    </row>
    <row r="31" spans="1:12" ht="20.399999999999999">
      <c r="A31" s="159" t="s">
        <v>264</v>
      </c>
      <c r="B31" s="114" t="s">
        <v>281</v>
      </c>
      <c r="C31" s="169">
        <v>110151</v>
      </c>
      <c r="D31" s="156" t="s">
        <v>17</v>
      </c>
      <c r="E31" s="157" t="s">
        <v>1346</v>
      </c>
      <c r="F31" s="170" t="s">
        <v>279</v>
      </c>
      <c r="G31" s="171">
        <v>30</v>
      </c>
      <c r="J31" s="264">
        <v>110228</v>
      </c>
      <c r="K31" t="s">
        <v>97</v>
      </c>
      <c r="L31" t="s">
        <v>21</v>
      </c>
    </row>
    <row r="32" spans="1:12">
      <c r="A32" s="159" t="s">
        <v>261</v>
      </c>
      <c r="B32" s="114" t="s">
        <v>280</v>
      </c>
      <c r="C32" s="169">
        <v>110153</v>
      </c>
      <c r="D32" s="156" t="s">
        <v>17</v>
      </c>
      <c r="E32" s="157" t="s">
        <v>21</v>
      </c>
      <c r="F32" s="170" t="s">
        <v>279</v>
      </c>
      <c r="G32" s="171">
        <v>150</v>
      </c>
      <c r="J32">
        <v>110230</v>
      </c>
      <c r="K32" t="s">
        <v>34</v>
      </c>
      <c r="L32" t="s">
        <v>1341</v>
      </c>
    </row>
    <row r="33" spans="1:12">
      <c r="A33" s="159" t="s">
        <v>264</v>
      </c>
      <c r="B33" s="114" t="s">
        <v>281</v>
      </c>
      <c r="C33" s="169">
        <v>110153</v>
      </c>
      <c r="D33" s="156" t="s">
        <v>17</v>
      </c>
      <c r="E33" s="157" t="s">
        <v>21</v>
      </c>
      <c r="F33" s="170" t="s">
        <v>279</v>
      </c>
      <c r="G33" s="171">
        <v>30</v>
      </c>
      <c r="J33" s="263">
        <v>110236</v>
      </c>
      <c r="K33" t="s">
        <v>74</v>
      </c>
      <c r="L33" t="s">
        <v>21</v>
      </c>
    </row>
    <row r="34" spans="1:12">
      <c r="A34" s="159" t="s">
        <v>267</v>
      </c>
      <c r="B34" s="114" t="s">
        <v>291</v>
      </c>
      <c r="C34" s="169">
        <v>110153</v>
      </c>
      <c r="D34" s="156" t="s">
        <v>17</v>
      </c>
      <c r="E34" s="157" t="s">
        <v>21</v>
      </c>
      <c r="F34" s="170" t="s">
        <v>279</v>
      </c>
      <c r="G34" s="171">
        <v>5</v>
      </c>
      <c r="J34" s="263">
        <v>110237</v>
      </c>
      <c r="K34" t="s">
        <v>74</v>
      </c>
      <c r="L34" t="s">
        <v>21</v>
      </c>
    </row>
    <row r="35" spans="1:12" ht="20.399999999999999">
      <c r="A35" s="159" t="s">
        <v>261</v>
      </c>
      <c r="B35" s="114" t="s">
        <v>280</v>
      </c>
      <c r="C35" s="169">
        <v>110172</v>
      </c>
      <c r="D35" s="156" t="s">
        <v>36</v>
      </c>
      <c r="E35" s="157" t="s">
        <v>1347</v>
      </c>
      <c r="F35" s="170" t="s">
        <v>279</v>
      </c>
      <c r="G35" s="171">
        <v>220</v>
      </c>
      <c r="J35" s="263">
        <v>110238</v>
      </c>
      <c r="K35" t="s">
        <v>17</v>
      </c>
      <c r="L35" t="s">
        <v>21</v>
      </c>
    </row>
    <row r="36" spans="1:12" ht="20.399999999999999">
      <c r="A36" s="159" t="s">
        <v>261</v>
      </c>
      <c r="B36" s="114" t="s">
        <v>280</v>
      </c>
      <c r="C36" s="169">
        <v>110173</v>
      </c>
      <c r="D36" s="156" t="s">
        <v>36</v>
      </c>
      <c r="E36" s="157" t="s">
        <v>1348</v>
      </c>
      <c r="F36" s="170" t="s">
        <v>279</v>
      </c>
      <c r="G36" s="171">
        <v>220</v>
      </c>
      <c r="J36" s="263">
        <v>110244</v>
      </c>
      <c r="K36" t="s">
        <v>17</v>
      </c>
      <c r="L36" t="s">
        <v>21</v>
      </c>
    </row>
    <row r="37" spans="1:12" ht="20.399999999999999">
      <c r="A37" s="159" t="s">
        <v>261</v>
      </c>
      <c r="B37" s="114" t="s">
        <v>280</v>
      </c>
      <c r="C37" s="169">
        <v>110174</v>
      </c>
      <c r="D37" s="156" t="s">
        <v>36</v>
      </c>
      <c r="E37" s="157" t="s">
        <v>1349</v>
      </c>
      <c r="F37" s="170" t="s">
        <v>497</v>
      </c>
      <c r="G37" s="171">
        <v>220</v>
      </c>
      <c r="J37" s="263">
        <v>110245</v>
      </c>
      <c r="K37" t="s">
        <v>17</v>
      </c>
      <c r="L37" t="s">
        <v>21</v>
      </c>
    </row>
    <row r="38" spans="1:12" ht="20.399999999999999">
      <c r="A38" s="159" t="s">
        <v>264</v>
      </c>
      <c r="B38" s="114" t="s">
        <v>281</v>
      </c>
      <c r="C38" s="169">
        <v>110174</v>
      </c>
      <c r="D38" s="156" t="s">
        <v>36</v>
      </c>
      <c r="E38" s="157" t="s">
        <v>1349</v>
      </c>
      <c r="F38" s="170" t="s">
        <v>497</v>
      </c>
      <c r="G38" s="171">
        <v>40</v>
      </c>
      <c r="J38" s="263">
        <v>110246</v>
      </c>
      <c r="K38" t="s">
        <v>17</v>
      </c>
      <c r="L38" t="s">
        <v>21</v>
      </c>
    </row>
    <row r="39" spans="1:12" ht="20.399999999999999">
      <c r="A39" s="159" t="s">
        <v>261</v>
      </c>
      <c r="B39" s="114" t="s">
        <v>280</v>
      </c>
      <c r="C39" s="169">
        <v>110175</v>
      </c>
      <c r="D39" s="156" t="s">
        <v>36</v>
      </c>
      <c r="E39" s="157" t="s">
        <v>1350</v>
      </c>
      <c r="F39" s="170" t="s">
        <v>279</v>
      </c>
      <c r="G39" s="171">
        <v>220</v>
      </c>
      <c r="J39">
        <v>110247</v>
      </c>
      <c r="K39" t="s">
        <v>17</v>
      </c>
      <c r="L39" t="s">
        <v>21</v>
      </c>
    </row>
    <row r="40" spans="1:12" ht="20.399999999999999">
      <c r="A40" s="159" t="s">
        <v>264</v>
      </c>
      <c r="B40" s="114" t="s">
        <v>281</v>
      </c>
      <c r="C40" s="169">
        <v>110175</v>
      </c>
      <c r="D40" s="156" t="s">
        <v>36</v>
      </c>
      <c r="E40" s="157" t="s">
        <v>1350</v>
      </c>
      <c r="F40" s="170" t="s">
        <v>279</v>
      </c>
      <c r="G40" s="171">
        <v>40</v>
      </c>
      <c r="J40">
        <v>110248</v>
      </c>
      <c r="K40" t="s">
        <v>17</v>
      </c>
      <c r="L40" t="s">
        <v>21</v>
      </c>
    </row>
    <row r="41" spans="1:12" ht="20.399999999999999">
      <c r="A41" s="159" t="s">
        <v>261</v>
      </c>
      <c r="B41" s="114" t="s">
        <v>280</v>
      </c>
      <c r="C41" s="169">
        <v>110176</v>
      </c>
      <c r="D41" s="156" t="s">
        <v>36</v>
      </c>
      <c r="E41" s="157" t="s">
        <v>1351</v>
      </c>
      <c r="F41" s="170" t="s">
        <v>279</v>
      </c>
      <c r="G41" s="171">
        <v>220</v>
      </c>
      <c r="J41">
        <v>110249</v>
      </c>
      <c r="K41" t="s">
        <v>17</v>
      </c>
      <c r="L41" t="s">
        <v>21</v>
      </c>
    </row>
    <row r="42" spans="1:12" ht="20.399999999999999">
      <c r="A42" s="159" t="s">
        <v>264</v>
      </c>
      <c r="B42" s="114" t="s">
        <v>281</v>
      </c>
      <c r="C42" s="169">
        <v>110176</v>
      </c>
      <c r="D42" s="156" t="s">
        <v>36</v>
      </c>
      <c r="E42" s="157" t="s">
        <v>1351</v>
      </c>
      <c r="F42" s="170" t="s">
        <v>279</v>
      </c>
      <c r="G42" s="171">
        <v>40</v>
      </c>
      <c r="J42">
        <v>110250</v>
      </c>
      <c r="K42" t="s">
        <v>17</v>
      </c>
      <c r="L42" t="s">
        <v>21</v>
      </c>
    </row>
    <row r="43" spans="1:12" ht="20.399999999999999">
      <c r="A43" s="181" t="s">
        <v>272</v>
      </c>
      <c r="B43" s="114" t="s">
        <v>287</v>
      </c>
      <c r="C43" s="169">
        <v>110210</v>
      </c>
      <c r="D43" s="156" t="s">
        <v>45</v>
      </c>
      <c r="E43" s="157" t="s">
        <v>1352</v>
      </c>
      <c r="F43" s="170" t="s">
        <v>279</v>
      </c>
      <c r="G43" s="171">
        <v>320</v>
      </c>
      <c r="J43">
        <v>110251</v>
      </c>
      <c r="K43" t="s">
        <v>17</v>
      </c>
      <c r="L43" t="s">
        <v>21</v>
      </c>
    </row>
    <row r="44" spans="1:12" ht="20.399999999999999">
      <c r="A44" s="181" t="s">
        <v>273</v>
      </c>
      <c r="B44" s="114" t="s">
        <v>288</v>
      </c>
      <c r="C44" s="169">
        <v>110210</v>
      </c>
      <c r="D44" s="156" t="s">
        <v>45</v>
      </c>
      <c r="E44" s="157" t="s">
        <v>1352</v>
      </c>
      <c r="F44" s="170" t="s">
        <v>279</v>
      </c>
      <c r="G44" s="171">
        <v>120</v>
      </c>
      <c r="J44">
        <v>110271</v>
      </c>
      <c r="K44" t="s">
        <v>108</v>
      </c>
      <c r="L44" t="s">
        <v>21</v>
      </c>
    </row>
    <row r="45" spans="1:12" ht="20.399999999999999">
      <c r="A45" s="181" t="s">
        <v>274</v>
      </c>
      <c r="B45" s="114" t="s">
        <v>1353</v>
      </c>
      <c r="C45" s="169">
        <v>110210</v>
      </c>
      <c r="D45" s="156" t="s">
        <v>45</v>
      </c>
      <c r="E45" s="157" t="s">
        <v>1352</v>
      </c>
      <c r="F45" s="170" t="s">
        <v>279</v>
      </c>
      <c r="G45" s="171">
        <v>50</v>
      </c>
      <c r="J45">
        <v>110272</v>
      </c>
      <c r="K45" t="s">
        <v>108</v>
      </c>
      <c r="L45" t="s">
        <v>21</v>
      </c>
    </row>
    <row r="46" spans="1:12" ht="20.399999999999999">
      <c r="A46" s="181" t="s">
        <v>275</v>
      </c>
      <c r="B46" s="114" t="s">
        <v>1354</v>
      </c>
      <c r="C46" s="169">
        <v>110210</v>
      </c>
      <c r="D46" s="156" t="s">
        <v>45</v>
      </c>
      <c r="E46" s="157" t="s">
        <v>1352</v>
      </c>
      <c r="F46" s="170" t="s">
        <v>279</v>
      </c>
      <c r="G46" s="171">
        <v>10</v>
      </c>
      <c r="J46">
        <v>110274</v>
      </c>
      <c r="K46" t="s">
        <v>115</v>
      </c>
      <c r="L46" t="s">
        <v>21</v>
      </c>
    </row>
    <row r="47" spans="1:12" ht="20.399999999999999">
      <c r="A47" s="181" t="s">
        <v>276</v>
      </c>
      <c r="B47" s="114" t="s">
        <v>1355</v>
      </c>
      <c r="C47" s="169">
        <v>110210</v>
      </c>
      <c r="D47" s="156" t="s">
        <v>45</v>
      </c>
      <c r="E47" s="157" t="s">
        <v>1352</v>
      </c>
      <c r="F47" s="170" t="s">
        <v>279</v>
      </c>
      <c r="G47" s="171">
        <v>10</v>
      </c>
      <c r="J47" t="s">
        <v>115</v>
      </c>
      <c r="K47" t="s">
        <v>21</v>
      </c>
      <c r="L47" t="s">
        <v>279</v>
      </c>
    </row>
    <row r="48" spans="1:12">
      <c r="A48" s="159" t="s">
        <v>261</v>
      </c>
      <c r="B48" s="114" t="s">
        <v>280</v>
      </c>
      <c r="C48" s="169">
        <v>110211</v>
      </c>
      <c r="D48" s="156" t="s">
        <v>17</v>
      </c>
      <c r="E48" s="157" t="s">
        <v>21</v>
      </c>
      <c r="F48" s="170" t="s">
        <v>279</v>
      </c>
      <c r="G48" s="171">
        <v>300</v>
      </c>
      <c r="J48" t="s">
        <v>148</v>
      </c>
    </row>
    <row r="49" spans="1:7">
      <c r="A49" s="159" t="s">
        <v>264</v>
      </c>
      <c r="B49" s="114" t="s">
        <v>281</v>
      </c>
      <c r="C49" s="169">
        <v>110211</v>
      </c>
      <c r="D49" s="156" t="s">
        <v>17</v>
      </c>
      <c r="E49" s="157" t="s">
        <v>21</v>
      </c>
      <c r="F49" s="170" t="s">
        <v>279</v>
      </c>
      <c r="G49" s="171">
        <v>60</v>
      </c>
    </row>
    <row r="50" spans="1:7">
      <c r="A50" s="159" t="s">
        <v>265</v>
      </c>
      <c r="B50" s="114" t="s">
        <v>282</v>
      </c>
      <c r="C50" s="169">
        <v>110211</v>
      </c>
      <c r="D50" s="156" t="s">
        <v>17</v>
      </c>
      <c r="E50" s="157" t="s">
        <v>21</v>
      </c>
      <c r="F50" s="170" t="s">
        <v>279</v>
      </c>
      <c r="G50" s="171">
        <v>10</v>
      </c>
    </row>
    <row r="51" spans="1:7">
      <c r="A51" s="159" t="s">
        <v>266</v>
      </c>
      <c r="B51" s="114" t="s">
        <v>286</v>
      </c>
      <c r="C51" s="169">
        <v>110211</v>
      </c>
      <c r="D51" s="156" t="s">
        <v>17</v>
      </c>
      <c r="E51" s="157" t="s">
        <v>21</v>
      </c>
      <c r="F51" s="170" t="s">
        <v>279</v>
      </c>
      <c r="G51" s="171">
        <v>2</v>
      </c>
    </row>
    <row r="52" spans="1:7">
      <c r="A52" s="159" t="s">
        <v>267</v>
      </c>
      <c r="B52" s="114" t="s">
        <v>291</v>
      </c>
      <c r="C52" s="169">
        <v>110211</v>
      </c>
      <c r="D52" s="156" t="s">
        <v>17</v>
      </c>
      <c r="E52" s="157" t="s">
        <v>21</v>
      </c>
      <c r="F52" s="170" t="s">
        <v>279</v>
      </c>
      <c r="G52" s="171">
        <v>1</v>
      </c>
    </row>
    <row r="53" spans="1:7">
      <c r="A53" s="159" t="s">
        <v>268</v>
      </c>
      <c r="B53" s="114" t="s">
        <v>292</v>
      </c>
      <c r="C53" s="169">
        <v>110211</v>
      </c>
      <c r="D53" s="156" t="s">
        <v>17</v>
      </c>
      <c r="E53" s="157" t="s">
        <v>21</v>
      </c>
      <c r="F53" s="170" t="s">
        <v>279</v>
      </c>
      <c r="G53" s="171">
        <v>7</v>
      </c>
    </row>
    <row r="54" spans="1:7">
      <c r="A54" s="159" t="s">
        <v>261</v>
      </c>
      <c r="B54" s="114" t="s">
        <v>280</v>
      </c>
      <c r="C54" s="169">
        <v>110212</v>
      </c>
      <c r="D54" s="156" t="s">
        <v>17</v>
      </c>
      <c r="E54" s="157" t="s">
        <v>21</v>
      </c>
      <c r="F54" s="170" t="s">
        <v>279</v>
      </c>
      <c r="G54" s="171">
        <v>350</v>
      </c>
    </row>
    <row r="55" spans="1:7">
      <c r="A55" s="159" t="s">
        <v>264</v>
      </c>
      <c r="B55" s="114" t="s">
        <v>281</v>
      </c>
      <c r="C55" s="169">
        <v>110212</v>
      </c>
      <c r="D55" s="156" t="s">
        <v>17</v>
      </c>
      <c r="E55" s="157" t="s">
        <v>21</v>
      </c>
      <c r="F55" s="170" t="s">
        <v>279</v>
      </c>
      <c r="G55" s="171">
        <v>80</v>
      </c>
    </row>
    <row r="56" spans="1:7">
      <c r="A56" s="159" t="s">
        <v>261</v>
      </c>
      <c r="B56" s="114" t="s">
        <v>280</v>
      </c>
      <c r="C56" s="169">
        <v>110227</v>
      </c>
      <c r="D56" s="156" t="s">
        <v>97</v>
      </c>
      <c r="E56" s="157" t="s">
        <v>21</v>
      </c>
      <c r="F56" s="170" t="s">
        <v>279</v>
      </c>
      <c r="G56" s="171">
        <v>200</v>
      </c>
    </row>
    <row r="57" spans="1:7">
      <c r="A57" s="159" t="s">
        <v>264</v>
      </c>
      <c r="B57" s="114" t="s">
        <v>281</v>
      </c>
      <c r="C57" s="169">
        <v>110227</v>
      </c>
      <c r="D57" s="156" t="s">
        <v>97</v>
      </c>
      <c r="E57" s="157" t="s">
        <v>21</v>
      </c>
      <c r="F57" s="170" t="s">
        <v>279</v>
      </c>
      <c r="G57" s="171">
        <v>50</v>
      </c>
    </row>
    <row r="58" spans="1:7">
      <c r="A58" s="181" t="s">
        <v>265</v>
      </c>
      <c r="B58" s="114" t="s">
        <v>282</v>
      </c>
      <c r="C58" s="169">
        <v>110227</v>
      </c>
      <c r="D58" s="156" t="s">
        <v>97</v>
      </c>
      <c r="E58" s="157" t="s">
        <v>21</v>
      </c>
      <c r="F58" s="170" t="s">
        <v>279</v>
      </c>
      <c r="G58" s="171">
        <v>10</v>
      </c>
    </row>
    <row r="59" spans="1:7">
      <c r="A59" s="159" t="s">
        <v>266</v>
      </c>
      <c r="B59" s="114" t="s">
        <v>286</v>
      </c>
      <c r="C59" s="169">
        <v>110227</v>
      </c>
      <c r="D59" s="156" t="s">
        <v>97</v>
      </c>
      <c r="E59" s="157" t="s">
        <v>21</v>
      </c>
      <c r="F59" s="170" t="s">
        <v>279</v>
      </c>
      <c r="G59" s="171">
        <v>5</v>
      </c>
    </row>
    <row r="60" spans="1:7">
      <c r="A60" s="159" t="s">
        <v>267</v>
      </c>
      <c r="B60" s="114" t="s">
        <v>291</v>
      </c>
      <c r="C60" s="169">
        <v>110227</v>
      </c>
      <c r="D60" s="156" t="s">
        <v>97</v>
      </c>
      <c r="E60" s="157" t="s">
        <v>21</v>
      </c>
      <c r="F60" s="170" t="s">
        <v>279</v>
      </c>
      <c r="G60" s="171">
        <v>5</v>
      </c>
    </row>
    <row r="61" spans="1:7">
      <c r="A61" s="159" t="s">
        <v>268</v>
      </c>
      <c r="B61" s="114" t="s">
        <v>292</v>
      </c>
      <c r="C61" s="169">
        <v>110227</v>
      </c>
      <c r="D61" s="156" t="s">
        <v>97</v>
      </c>
      <c r="E61" s="157" t="s">
        <v>21</v>
      </c>
      <c r="F61" s="170" t="s">
        <v>279</v>
      </c>
      <c r="G61" s="171">
        <v>2</v>
      </c>
    </row>
    <row r="62" spans="1:7">
      <c r="A62" s="159" t="s">
        <v>261</v>
      </c>
      <c r="B62" s="114" t="s">
        <v>280</v>
      </c>
      <c r="C62" s="169">
        <v>110228</v>
      </c>
      <c r="D62" s="156" t="s">
        <v>97</v>
      </c>
      <c r="E62" s="157" t="s">
        <v>21</v>
      </c>
      <c r="F62" s="170" t="s">
        <v>279</v>
      </c>
      <c r="G62" s="171">
        <v>50</v>
      </c>
    </row>
    <row r="63" spans="1:7">
      <c r="A63" s="159" t="s">
        <v>264</v>
      </c>
      <c r="B63" s="114" t="s">
        <v>281</v>
      </c>
      <c r="C63" s="169">
        <v>110228</v>
      </c>
      <c r="D63" s="156" t="s">
        <v>97</v>
      </c>
      <c r="E63" s="157" t="s">
        <v>21</v>
      </c>
      <c r="F63" s="170" t="s">
        <v>279</v>
      </c>
      <c r="G63" s="171">
        <v>20</v>
      </c>
    </row>
    <row r="64" spans="1:7">
      <c r="A64" s="159" t="s">
        <v>261</v>
      </c>
      <c r="B64" s="114" t="s">
        <v>280</v>
      </c>
      <c r="C64" s="169">
        <v>110238</v>
      </c>
      <c r="D64" s="156" t="s">
        <v>17</v>
      </c>
      <c r="E64" s="157" t="s">
        <v>21</v>
      </c>
      <c r="F64" s="170" t="s">
        <v>279</v>
      </c>
      <c r="G64" s="171">
        <v>150</v>
      </c>
    </row>
    <row r="65" spans="1:7">
      <c r="A65" s="159" t="s">
        <v>264</v>
      </c>
      <c r="B65" s="114" t="s">
        <v>281</v>
      </c>
      <c r="C65" s="169">
        <v>110238</v>
      </c>
      <c r="D65" s="156" t="s">
        <v>17</v>
      </c>
      <c r="E65" s="157" t="s">
        <v>21</v>
      </c>
      <c r="F65" s="170" t="s">
        <v>279</v>
      </c>
      <c r="G65" s="171">
        <v>150</v>
      </c>
    </row>
    <row r="66" spans="1:7">
      <c r="A66" s="181" t="s">
        <v>265</v>
      </c>
      <c r="B66" s="114" t="s">
        <v>282</v>
      </c>
      <c r="C66" s="169">
        <v>110238</v>
      </c>
      <c r="D66" s="156" t="s">
        <v>17</v>
      </c>
      <c r="E66" s="157" t="s">
        <v>21</v>
      </c>
      <c r="F66" s="170" t="s">
        <v>279</v>
      </c>
      <c r="G66" s="171">
        <v>30</v>
      </c>
    </row>
    <row r="67" spans="1:7">
      <c r="A67" s="159" t="s">
        <v>261</v>
      </c>
      <c r="B67" s="114" t="s">
        <v>280</v>
      </c>
      <c r="C67" s="169">
        <v>110236</v>
      </c>
      <c r="D67" s="156" t="s">
        <v>74</v>
      </c>
      <c r="E67" s="157" t="s">
        <v>21</v>
      </c>
      <c r="F67" s="170" t="s">
        <v>279</v>
      </c>
      <c r="G67" s="171">
        <v>400</v>
      </c>
    </row>
    <row r="68" spans="1:7">
      <c r="A68" s="159" t="s">
        <v>264</v>
      </c>
      <c r="B68" s="114" t="s">
        <v>281</v>
      </c>
      <c r="C68" s="169">
        <v>110236</v>
      </c>
      <c r="D68" s="156" t="s">
        <v>74</v>
      </c>
      <c r="E68" s="157" t="s">
        <v>21</v>
      </c>
      <c r="F68" s="170" t="s">
        <v>279</v>
      </c>
      <c r="G68" s="171">
        <v>50</v>
      </c>
    </row>
    <row r="69" spans="1:7">
      <c r="A69" s="181" t="s">
        <v>265</v>
      </c>
      <c r="B69" s="114" t="s">
        <v>282</v>
      </c>
      <c r="C69" s="169">
        <v>110236</v>
      </c>
      <c r="D69" s="156" t="s">
        <v>74</v>
      </c>
      <c r="E69" s="157" t="s">
        <v>21</v>
      </c>
      <c r="F69" s="170" t="s">
        <v>279</v>
      </c>
      <c r="G69" s="171">
        <v>40</v>
      </c>
    </row>
    <row r="70" spans="1:7">
      <c r="A70" s="159" t="s">
        <v>261</v>
      </c>
      <c r="B70" s="114" t="s">
        <v>280</v>
      </c>
      <c r="C70" s="169">
        <v>110237</v>
      </c>
      <c r="D70" s="156" t="s">
        <v>74</v>
      </c>
      <c r="E70" s="157" t="s">
        <v>21</v>
      </c>
      <c r="F70" s="170" t="s">
        <v>279</v>
      </c>
      <c r="G70" s="171">
        <v>50</v>
      </c>
    </row>
    <row r="71" spans="1:7">
      <c r="A71" s="159" t="s">
        <v>264</v>
      </c>
      <c r="B71" s="114" t="s">
        <v>281</v>
      </c>
      <c r="C71" s="169">
        <v>110237</v>
      </c>
      <c r="D71" s="156" t="s">
        <v>74</v>
      </c>
      <c r="E71" s="157" t="s">
        <v>21</v>
      </c>
      <c r="F71" s="170" t="s">
        <v>279</v>
      </c>
      <c r="G71" s="171">
        <v>50</v>
      </c>
    </row>
    <row r="72" spans="1:7">
      <c r="A72" s="181" t="s">
        <v>265</v>
      </c>
      <c r="B72" s="114" t="s">
        <v>282</v>
      </c>
      <c r="C72" s="169">
        <v>110237</v>
      </c>
      <c r="D72" s="156" t="s">
        <v>74</v>
      </c>
      <c r="E72" s="157" t="s">
        <v>21</v>
      </c>
      <c r="F72" s="170" t="s">
        <v>279</v>
      </c>
      <c r="G72" s="171">
        <v>10</v>
      </c>
    </row>
    <row r="73" spans="1:7">
      <c r="A73" s="159" t="s">
        <v>261</v>
      </c>
      <c r="B73" s="114" t="s">
        <v>280</v>
      </c>
      <c r="C73" s="169">
        <v>110244</v>
      </c>
      <c r="D73" s="156" t="s">
        <v>17</v>
      </c>
      <c r="E73" s="157" t="s">
        <v>21</v>
      </c>
      <c r="F73" s="170" t="s">
        <v>279</v>
      </c>
      <c r="G73" s="171">
        <v>200</v>
      </c>
    </row>
    <row r="74" spans="1:7">
      <c r="A74" s="159" t="s">
        <v>264</v>
      </c>
      <c r="B74" s="114" t="s">
        <v>281</v>
      </c>
      <c r="C74" s="169">
        <v>110244</v>
      </c>
      <c r="D74" s="156" t="s">
        <v>17</v>
      </c>
      <c r="E74" s="157" t="s">
        <v>21</v>
      </c>
      <c r="F74" s="170" t="s">
        <v>279</v>
      </c>
      <c r="G74" s="171">
        <v>100</v>
      </c>
    </row>
    <row r="75" spans="1:7">
      <c r="A75" s="181" t="s">
        <v>265</v>
      </c>
      <c r="B75" s="114" t="s">
        <v>282</v>
      </c>
      <c r="C75" s="169">
        <v>110244</v>
      </c>
      <c r="D75" s="156" t="s">
        <v>17</v>
      </c>
      <c r="E75" s="157" t="s">
        <v>21</v>
      </c>
      <c r="F75" s="170" t="s">
        <v>279</v>
      </c>
      <c r="G75" s="171">
        <v>20</v>
      </c>
    </row>
    <row r="76" spans="1:7">
      <c r="A76" s="181" t="s">
        <v>266</v>
      </c>
      <c r="B76" s="114" t="s">
        <v>286</v>
      </c>
      <c r="C76" s="169">
        <v>110244</v>
      </c>
      <c r="D76" s="156" t="s">
        <v>17</v>
      </c>
      <c r="E76" s="157" t="s">
        <v>21</v>
      </c>
      <c r="F76" s="170" t="s">
        <v>279</v>
      </c>
      <c r="G76" s="171">
        <v>10</v>
      </c>
    </row>
    <row r="77" spans="1:7">
      <c r="A77" s="181" t="s">
        <v>267</v>
      </c>
      <c r="B77" s="114" t="s">
        <v>291</v>
      </c>
      <c r="C77" s="169">
        <v>110244</v>
      </c>
      <c r="D77" s="156" t="s">
        <v>17</v>
      </c>
      <c r="E77" s="157" t="s">
        <v>21</v>
      </c>
      <c r="F77" s="170" t="s">
        <v>279</v>
      </c>
      <c r="G77" s="171">
        <v>5</v>
      </c>
    </row>
    <row r="78" spans="1:7">
      <c r="A78" s="159" t="s">
        <v>261</v>
      </c>
      <c r="B78" s="114" t="s">
        <v>280</v>
      </c>
      <c r="C78" s="169">
        <v>110245</v>
      </c>
      <c r="D78" s="156" t="s">
        <v>17</v>
      </c>
      <c r="E78" s="157" t="s">
        <v>21</v>
      </c>
      <c r="F78" s="170" t="s">
        <v>279</v>
      </c>
      <c r="G78" s="171">
        <v>300</v>
      </c>
    </row>
    <row r="79" spans="1:7">
      <c r="A79" s="159" t="s">
        <v>264</v>
      </c>
      <c r="B79" s="114" t="s">
        <v>281</v>
      </c>
      <c r="C79" s="169">
        <v>110245</v>
      </c>
      <c r="D79" s="156" t="s">
        <v>17</v>
      </c>
      <c r="E79" s="157" t="s">
        <v>21</v>
      </c>
      <c r="F79" s="170" t="s">
        <v>279</v>
      </c>
      <c r="G79" s="171">
        <v>20</v>
      </c>
    </row>
    <row r="80" spans="1:7">
      <c r="A80" s="159" t="s">
        <v>261</v>
      </c>
      <c r="B80" s="114" t="s">
        <v>280</v>
      </c>
      <c r="C80" s="169">
        <v>110246</v>
      </c>
      <c r="D80" s="156" t="s">
        <v>17</v>
      </c>
      <c r="E80" s="157" t="s">
        <v>21</v>
      </c>
      <c r="F80" s="170" t="s">
        <v>279</v>
      </c>
      <c r="G80" s="171">
        <v>1100</v>
      </c>
    </row>
    <row r="81" spans="1:7">
      <c r="A81" s="159" t="s">
        <v>264</v>
      </c>
      <c r="B81" s="114" t="s">
        <v>281</v>
      </c>
      <c r="C81" s="169">
        <v>110246</v>
      </c>
      <c r="D81" s="156" t="s">
        <v>17</v>
      </c>
      <c r="E81" s="157" t="s">
        <v>21</v>
      </c>
      <c r="F81" s="170" t="s">
        <v>279</v>
      </c>
      <c r="G81" s="171">
        <v>380</v>
      </c>
    </row>
    <row r="82" spans="1:7">
      <c r="A82" s="181" t="s">
        <v>265</v>
      </c>
      <c r="B82" s="114" t="s">
        <v>282</v>
      </c>
      <c r="C82" s="169">
        <v>110246</v>
      </c>
      <c r="D82" s="156" t="s">
        <v>17</v>
      </c>
      <c r="E82" s="157" t="s">
        <v>21</v>
      </c>
      <c r="F82" s="170" t="s">
        <v>279</v>
      </c>
      <c r="G82" s="171">
        <v>50</v>
      </c>
    </row>
    <row r="83" spans="1:7">
      <c r="A83" s="181" t="s">
        <v>266</v>
      </c>
      <c r="B83" s="114" t="s">
        <v>286</v>
      </c>
      <c r="C83" s="169">
        <v>110246</v>
      </c>
      <c r="D83" s="156" t="s">
        <v>17</v>
      </c>
      <c r="E83" s="157" t="s">
        <v>21</v>
      </c>
      <c r="F83" s="170" t="s">
        <v>279</v>
      </c>
      <c r="G83" s="171">
        <v>20</v>
      </c>
    </row>
    <row r="84" spans="1:7">
      <c r="A84" s="181" t="s">
        <v>267</v>
      </c>
      <c r="B84" s="114" t="s">
        <v>291</v>
      </c>
      <c r="C84" s="169">
        <v>110246</v>
      </c>
      <c r="D84" s="156" t="s">
        <v>17</v>
      </c>
      <c r="E84" s="157" t="s">
        <v>21</v>
      </c>
      <c r="F84" s="170" t="s">
        <v>279</v>
      </c>
      <c r="G84" s="171">
        <v>10</v>
      </c>
    </row>
    <row r="85" spans="1:7">
      <c r="A85" s="181" t="s">
        <v>268</v>
      </c>
      <c r="B85" s="114" t="s">
        <v>292</v>
      </c>
      <c r="C85" s="169">
        <v>110246</v>
      </c>
      <c r="D85" s="156" t="s">
        <v>17</v>
      </c>
      <c r="E85" s="157" t="s">
        <v>21</v>
      </c>
      <c r="F85" s="170" t="s">
        <v>279</v>
      </c>
      <c r="G85" s="171">
        <v>3</v>
      </c>
    </row>
    <row r="86" spans="1:7">
      <c r="A86" s="159" t="s">
        <v>261</v>
      </c>
      <c r="B86" s="114" t="s">
        <v>280</v>
      </c>
      <c r="C86" s="169">
        <v>110247</v>
      </c>
      <c r="D86" s="156" t="s">
        <v>17</v>
      </c>
      <c r="E86" s="157" t="s">
        <v>21</v>
      </c>
      <c r="F86" s="170" t="s">
        <v>279</v>
      </c>
      <c r="G86" s="171">
        <v>1100</v>
      </c>
    </row>
    <row r="87" spans="1:7">
      <c r="A87" s="159" t="s">
        <v>264</v>
      </c>
      <c r="B87" s="114" t="s">
        <v>281</v>
      </c>
      <c r="C87" s="169">
        <v>110247</v>
      </c>
      <c r="D87" s="156" t="s">
        <v>17</v>
      </c>
      <c r="E87" s="157" t="s">
        <v>21</v>
      </c>
      <c r="F87" s="170" t="s">
        <v>279</v>
      </c>
      <c r="G87" s="171">
        <v>120</v>
      </c>
    </row>
    <row r="88" spans="1:7">
      <c r="A88" s="181" t="s">
        <v>265</v>
      </c>
      <c r="B88" s="114" t="s">
        <v>282</v>
      </c>
      <c r="C88" s="169">
        <v>110247</v>
      </c>
      <c r="D88" s="156" t="s">
        <v>17</v>
      </c>
      <c r="E88" s="157" t="s">
        <v>21</v>
      </c>
      <c r="F88" s="170" t="s">
        <v>279</v>
      </c>
      <c r="G88" s="171">
        <v>50</v>
      </c>
    </row>
    <row r="89" spans="1:7">
      <c r="A89" s="159" t="s">
        <v>261</v>
      </c>
      <c r="B89" s="114" t="s">
        <v>280</v>
      </c>
      <c r="C89" s="169">
        <v>110248</v>
      </c>
      <c r="D89" s="156" t="s">
        <v>17</v>
      </c>
      <c r="E89" s="157" t="s">
        <v>21</v>
      </c>
      <c r="F89" s="170" t="s">
        <v>279</v>
      </c>
      <c r="G89" s="171">
        <v>600</v>
      </c>
    </row>
    <row r="90" spans="1:7">
      <c r="A90" s="159" t="s">
        <v>264</v>
      </c>
      <c r="B90" s="114" t="s">
        <v>281</v>
      </c>
      <c r="C90" s="169">
        <v>110248</v>
      </c>
      <c r="D90" s="156" t="s">
        <v>17</v>
      </c>
      <c r="E90" s="157" t="s">
        <v>21</v>
      </c>
      <c r="F90" s="170" t="s">
        <v>279</v>
      </c>
      <c r="G90" s="171">
        <v>250</v>
      </c>
    </row>
    <row r="91" spans="1:7">
      <c r="A91" s="181" t="s">
        <v>265</v>
      </c>
      <c r="B91" s="114" t="s">
        <v>282</v>
      </c>
      <c r="C91" s="169">
        <v>110248</v>
      </c>
      <c r="D91" s="156" t="s">
        <v>17</v>
      </c>
      <c r="E91" s="157" t="s">
        <v>21</v>
      </c>
      <c r="F91" s="170" t="s">
        <v>279</v>
      </c>
      <c r="G91" s="171">
        <v>50</v>
      </c>
    </row>
    <row r="92" spans="1:7">
      <c r="A92" s="181" t="s">
        <v>266</v>
      </c>
      <c r="B92" s="114" t="s">
        <v>286</v>
      </c>
      <c r="C92" s="169">
        <v>110248</v>
      </c>
      <c r="D92" s="156" t="s">
        <v>17</v>
      </c>
      <c r="E92" s="157" t="s">
        <v>21</v>
      </c>
      <c r="F92" s="170" t="s">
        <v>279</v>
      </c>
      <c r="G92" s="171">
        <v>30</v>
      </c>
    </row>
    <row r="93" spans="1:7">
      <c r="A93" s="181" t="s">
        <v>267</v>
      </c>
      <c r="B93" s="114" t="s">
        <v>291</v>
      </c>
      <c r="C93" s="169">
        <v>110248</v>
      </c>
      <c r="D93" s="156" t="s">
        <v>17</v>
      </c>
      <c r="E93" s="157" t="s">
        <v>21</v>
      </c>
      <c r="F93" s="170" t="s">
        <v>279</v>
      </c>
      <c r="G93" s="171">
        <v>20</v>
      </c>
    </row>
    <row r="94" spans="1:7">
      <c r="A94" s="181" t="s">
        <v>268</v>
      </c>
      <c r="B94" s="114" t="s">
        <v>292</v>
      </c>
      <c r="C94" s="169">
        <v>110248</v>
      </c>
      <c r="D94" s="156" t="s">
        <v>17</v>
      </c>
      <c r="E94" s="157" t="s">
        <v>21</v>
      </c>
      <c r="F94" s="170" t="s">
        <v>279</v>
      </c>
      <c r="G94" s="171">
        <v>3</v>
      </c>
    </row>
    <row r="95" spans="1:7">
      <c r="A95" s="159" t="s">
        <v>261</v>
      </c>
      <c r="B95" s="114" t="s">
        <v>280</v>
      </c>
      <c r="C95" s="169">
        <v>110249</v>
      </c>
      <c r="D95" s="156" t="s">
        <v>17</v>
      </c>
      <c r="E95" s="157" t="s">
        <v>21</v>
      </c>
      <c r="F95" s="170" t="s">
        <v>279</v>
      </c>
      <c r="G95" s="171">
        <v>1000</v>
      </c>
    </row>
    <row r="96" spans="1:7">
      <c r="A96" s="159" t="s">
        <v>264</v>
      </c>
      <c r="B96" s="114" t="s">
        <v>281</v>
      </c>
      <c r="C96" s="169">
        <v>110249</v>
      </c>
      <c r="D96" s="156" t="s">
        <v>17</v>
      </c>
      <c r="E96" s="157" t="s">
        <v>21</v>
      </c>
      <c r="F96" s="170" t="s">
        <v>279</v>
      </c>
      <c r="G96" s="171">
        <v>200</v>
      </c>
    </row>
    <row r="97" spans="1:23">
      <c r="A97" s="181" t="s">
        <v>265</v>
      </c>
      <c r="B97" s="114" t="s">
        <v>282</v>
      </c>
      <c r="C97" s="169">
        <v>110249</v>
      </c>
      <c r="D97" s="156" t="s">
        <v>17</v>
      </c>
      <c r="E97" s="157" t="s">
        <v>21</v>
      </c>
      <c r="F97" s="170" t="s">
        <v>279</v>
      </c>
      <c r="G97" s="171">
        <v>50</v>
      </c>
    </row>
    <row r="98" spans="1:23">
      <c r="A98" s="159" t="s">
        <v>261</v>
      </c>
      <c r="B98" s="114" t="s">
        <v>280</v>
      </c>
      <c r="C98" s="169">
        <v>110250</v>
      </c>
      <c r="D98" s="156" t="s">
        <v>17</v>
      </c>
      <c r="E98" s="157" t="s">
        <v>21</v>
      </c>
      <c r="F98" s="170" t="s">
        <v>279</v>
      </c>
      <c r="G98" s="171">
        <v>1000</v>
      </c>
    </row>
    <row r="99" spans="1:23">
      <c r="A99" s="159" t="s">
        <v>264</v>
      </c>
      <c r="B99" s="114" t="s">
        <v>281</v>
      </c>
      <c r="C99" s="169">
        <v>110250</v>
      </c>
      <c r="D99" s="156" t="s">
        <v>17</v>
      </c>
      <c r="E99" s="157" t="s">
        <v>21</v>
      </c>
      <c r="F99" s="170" t="s">
        <v>279</v>
      </c>
      <c r="G99" s="171">
        <v>300</v>
      </c>
    </row>
    <row r="100" spans="1:23">
      <c r="A100" s="181" t="s">
        <v>265</v>
      </c>
      <c r="B100" s="114" t="s">
        <v>282</v>
      </c>
      <c r="C100" s="169">
        <v>110250</v>
      </c>
      <c r="D100" s="156" t="s">
        <v>17</v>
      </c>
      <c r="E100" s="157" t="s">
        <v>21</v>
      </c>
      <c r="F100" s="170" t="s">
        <v>279</v>
      </c>
      <c r="G100" s="171">
        <v>50</v>
      </c>
    </row>
    <row r="101" spans="1:23">
      <c r="A101" s="181" t="s">
        <v>266</v>
      </c>
      <c r="B101" s="114" t="s">
        <v>286</v>
      </c>
      <c r="C101" s="169">
        <v>110250</v>
      </c>
      <c r="D101" s="156" t="s">
        <v>17</v>
      </c>
      <c r="E101" s="157" t="s">
        <v>21</v>
      </c>
      <c r="F101" s="170" t="s">
        <v>279</v>
      </c>
      <c r="G101" s="171">
        <v>30</v>
      </c>
    </row>
    <row r="102" spans="1:23">
      <c r="A102" s="181" t="s">
        <v>267</v>
      </c>
      <c r="B102" s="114" t="s">
        <v>291</v>
      </c>
      <c r="C102" s="169">
        <v>110250</v>
      </c>
      <c r="D102" s="156" t="s">
        <v>17</v>
      </c>
      <c r="E102" s="157" t="s">
        <v>21</v>
      </c>
      <c r="F102" s="170" t="s">
        <v>279</v>
      </c>
      <c r="G102" s="171">
        <v>15</v>
      </c>
    </row>
    <row r="103" spans="1:23">
      <c r="A103" s="181" t="s">
        <v>268</v>
      </c>
      <c r="B103" s="114" t="s">
        <v>292</v>
      </c>
      <c r="C103" s="169">
        <v>110250</v>
      </c>
      <c r="D103" s="156" t="s">
        <v>17</v>
      </c>
      <c r="E103" s="157" t="s">
        <v>21</v>
      </c>
      <c r="F103" s="170" t="s">
        <v>279</v>
      </c>
      <c r="G103" s="171">
        <v>5</v>
      </c>
    </row>
    <row r="104" spans="1:23">
      <c r="A104" s="159" t="s">
        <v>261</v>
      </c>
      <c r="B104" s="114" t="s">
        <v>280</v>
      </c>
      <c r="C104" s="169">
        <v>110251</v>
      </c>
      <c r="D104" s="156" t="s">
        <v>17</v>
      </c>
      <c r="E104" s="157" t="s">
        <v>21</v>
      </c>
      <c r="F104" s="170" t="s">
        <v>279</v>
      </c>
      <c r="G104" s="171">
        <v>1000</v>
      </c>
    </row>
    <row r="105" spans="1:23">
      <c r="A105" s="159" t="s">
        <v>264</v>
      </c>
      <c r="B105" s="114" t="s">
        <v>281</v>
      </c>
      <c r="C105" s="169">
        <v>110251</v>
      </c>
      <c r="D105" s="156" t="s">
        <v>17</v>
      </c>
      <c r="E105" s="157" t="s">
        <v>21</v>
      </c>
      <c r="F105" s="170" t="s">
        <v>279</v>
      </c>
      <c r="G105" s="171">
        <v>200</v>
      </c>
    </row>
    <row r="106" spans="1:23">
      <c r="A106" s="181" t="s">
        <v>265</v>
      </c>
      <c r="B106" s="114" t="s">
        <v>282</v>
      </c>
      <c r="C106" s="169">
        <v>110251</v>
      </c>
      <c r="D106" s="156" t="s">
        <v>17</v>
      </c>
      <c r="E106" s="157" t="s">
        <v>21</v>
      </c>
      <c r="F106" s="170" t="s">
        <v>279</v>
      </c>
      <c r="G106" s="171">
        <v>40</v>
      </c>
      <c r="K106" t="s">
        <v>307</v>
      </c>
      <c r="L106" t="s">
        <v>307</v>
      </c>
      <c r="M106" t="s">
        <v>307</v>
      </c>
      <c r="N106" t="s">
        <v>307</v>
      </c>
      <c r="O106" t="s">
        <v>307</v>
      </c>
      <c r="P106" t="s">
        <v>307</v>
      </c>
      <c r="Q106" t="s">
        <v>307</v>
      </c>
      <c r="R106" t="s">
        <v>307</v>
      </c>
      <c r="S106" t="s">
        <v>172</v>
      </c>
      <c r="T106" t="s">
        <v>172</v>
      </c>
      <c r="U106" t="s">
        <v>172</v>
      </c>
      <c r="V106" t="s">
        <v>172</v>
      </c>
    </row>
    <row r="107" spans="1:23">
      <c r="A107" s="159" t="s">
        <v>261</v>
      </c>
      <c r="B107" s="114" t="s">
        <v>280</v>
      </c>
      <c r="C107" s="169">
        <v>110271</v>
      </c>
      <c r="D107" s="156" t="s">
        <v>108</v>
      </c>
      <c r="E107" s="157" t="s">
        <v>21</v>
      </c>
      <c r="F107" s="170" t="s">
        <v>279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264</v>
      </c>
      <c r="B108" s="114" t="s">
        <v>281</v>
      </c>
      <c r="C108" s="169">
        <v>110271</v>
      </c>
      <c r="D108" s="156" t="s">
        <v>108</v>
      </c>
      <c r="E108" s="157" t="s">
        <v>21</v>
      </c>
      <c r="F108" s="170" t="s">
        <v>279</v>
      </c>
      <c r="G108" s="171">
        <v>30</v>
      </c>
      <c r="J108" s="314"/>
      <c r="K108" s="314">
        <v>110986</v>
      </c>
      <c r="L108" s="314">
        <v>110987</v>
      </c>
      <c r="M108" s="314">
        <v>110988</v>
      </c>
      <c r="N108" s="314">
        <v>110989</v>
      </c>
      <c r="O108" s="314">
        <v>110990</v>
      </c>
      <c r="P108" s="314">
        <v>110991</v>
      </c>
      <c r="Q108" s="314">
        <v>110992</v>
      </c>
      <c r="R108" s="314">
        <v>110993</v>
      </c>
      <c r="S108" s="314">
        <v>110953</v>
      </c>
      <c r="T108" s="314">
        <v>110954</v>
      </c>
      <c r="U108" s="314">
        <v>110955</v>
      </c>
      <c r="V108" s="314">
        <v>110956</v>
      </c>
      <c r="W108" s="314"/>
    </row>
    <row r="109" spans="1:23">
      <c r="A109" s="159" t="s">
        <v>261</v>
      </c>
      <c r="B109" s="114" t="s">
        <v>280</v>
      </c>
      <c r="C109" s="169">
        <v>110272</v>
      </c>
      <c r="D109" s="156" t="s">
        <v>108</v>
      </c>
      <c r="E109" s="157" t="s">
        <v>21</v>
      </c>
      <c r="F109" s="170" t="s">
        <v>279</v>
      </c>
      <c r="G109" s="171">
        <v>200</v>
      </c>
      <c r="J109" s="252" t="s">
        <v>261</v>
      </c>
      <c r="K109" s="314">
        <v>50</v>
      </c>
      <c r="L109" s="314">
        <v>50</v>
      </c>
      <c r="M109" s="314">
        <v>50</v>
      </c>
      <c r="N109" s="314">
        <v>50</v>
      </c>
      <c r="O109" s="314">
        <v>50</v>
      </c>
      <c r="P109" s="314">
        <v>50</v>
      </c>
      <c r="Q109" s="314">
        <v>50</v>
      </c>
      <c r="R109" s="314">
        <v>50</v>
      </c>
      <c r="S109" s="314">
        <v>50</v>
      </c>
      <c r="T109" s="314">
        <v>50</v>
      </c>
      <c r="U109" s="314">
        <v>50</v>
      </c>
      <c r="V109" s="314">
        <v>50</v>
      </c>
      <c r="W109" s="316">
        <f t="shared" ref="W109:W125" si="0">SUM(K109:V109)</f>
        <v>600</v>
      </c>
    </row>
    <row r="110" spans="1:23">
      <c r="A110" s="159" t="s">
        <v>264</v>
      </c>
      <c r="B110" s="114" t="s">
        <v>281</v>
      </c>
      <c r="C110" s="169">
        <v>110272</v>
      </c>
      <c r="D110" s="156" t="s">
        <v>108</v>
      </c>
      <c r="E110" s="157" t="s">
        <v>21</v>
      </c>
      <c r="F110" s="170" t="s">
        <v>279</v>
      </c>
      <c r="G110" s="171">
        <v>50</v>
      </c>
      <c r="J110" s="252" t="s">
        <v>264</v>
      </c>
      <c r="K110" s="314"/>
      <c r="L110" s="314"/>
      <c r="M110" s="314"/>
      <c r="N110" s="314"/>
      <c r="O110" s="314"/>
      <c r="P110" s="314"/>
      <c r="Q110" s="314"/>
      <c r="R110" s="314"/>
      <c r="S110" s="314"/>
      <c r="T110" s="314">
        <v>0</v>
      </c>
      <c r="U110" s="314">
        <v>0</v>
      </c>
      <c r="V110" s="314">
        <v>0</v>
      </c>
      <c r="W110" s="316">
        <f t="shared" si="0"/>
        <v>0</v>
      </c>
    </row>
    <row r="111" spans="1:23">
      <c r="A111" s="181" t="s">
        <v>266</v>
      </c>
      <c r="B111" s="114" t="s">
        <v>286</v>
      </c>
      <c r="C111" s="169">
        <v>110272</v>
      </c>
      <c r="D111" s="156" t="s">
        <v>108</v>
      </c>
      <c r="E111" s="157" t="s">
        <v>21</v>
      </c>
      <c r="F111" s="170" t="s">
        <v>279</v>
      </c>
      <c r="G111" s="171">
        <v>15</v>
      </c>
      <c r="J111" s="252" t="s">
        <v>265</v>
      </c>
      <c r="K111" s="314"/>
      <c r="L111" s="314"/>
      <c r="M111" s="314"/>
      <c r="N111" s="314"/>
      <c r="O111" s="314"/>
      <c r="P111" s="314"/>
      <c r="Q111" s="314"/>
      <c r="R111" s="314"/>
      <c r="S111" s="314"/>
      <c r="T111" s="314">
        <v>0</v>
      </c>
      <c r="U111" s="314">
        <v>0</v>
      </c>
      <c r="V111" s="314">
        <v>0</v>
      </c>
      <c r="W111" s="316">
        <f t="shared" si="0"/>
        <v>0</v>
      </c>
    </row>
    <row r="112" spans="1:23">
      <c r="A112" s="181" t="s">
        <v>267</v>
      </c>
      <c r="B112" s="114" t="s">
        <v>291</v>
      </c>
      <c r="C112" s="169">
        <v>110272</v>
      </c>
      <c r="D112" s="156" t="s">
        <v>108</v>
      </c>
      <c r="E112" s="157" t="s">
        <v>21</v>
      </c>
      <c r="F112" s="170" t="s">
        <v>279</v>
      </c>
      <c r="G112" s="171">
        <v>10</v>
      </c>
      <c r="J112" s="252" t="s">
        <v>266</v>
      </c>
      <c r="K112" s="314"/>
      <c r="L112" s="314"/>
      <c r="M112" s="314"/>
      <c r="N112" s="314"/>
      <c r="O112" s="314"/>
      <c r="P112" s="314"/>
      <c r="Q112" s="314"/>
      <c r="R112" s="314"/>
      <c r="S112" s="314"/>
      <c r="T112" s="314"/>
      <c r="U112" s="314"/>
      <c r="V112" s="314"/>
      <c r="W112" s="316">
        <f t="shared" si="0"/>
        <v>0</v>
      </c>
    </row>
    <row r="113" spans="1:23">
      <c r="A113" s="181" t="s">
        <v>272</v>
      </c>
      <c r="B113" s="114" t="s">
        <v>287</v>
      </c>
      <c r="C113" s="169">
        <v>110274</v>
      </c>
      <c r="D113" s="156" t="s">
        <v>115</v>
      </c>
      <c r="E113" s="157" t="s">
        <v>21</v>
      </c>
      <c r="F113" s="170" t="s">
        <v>279</v>
      </c>
      <c r="G113" s="171">
        <v>250</v>
      </c>
      <c r="J113" s="252" t="s">
        <v>267</v>
      </c>
      <c r="K113" s="314"/>
      <c r="L113" s="314"/>
      <c r="M113" s="314"/>
      <c r="N113" s="314"/>
      <c r="O113" s="314"/>
      <c r="P113" s="314"/>
      <c r="Q113" s="314"/>
      <c r="R113" s="314"/>
      <c r="S113" s="314"/>
      <c r="T113" s="314"/>
      <c r="U113" s="314"/>
      <c r="V113" s="314"/>
      <c r="W113" s="316">
        <f t="shared" si="0"/>
        <v>0</v>
      </c>
    </row>
    <row r="114" spans="1:23">
      <c r="A114" s="181" t="s">
        <v>273</v>
      </c>
      <c r="B114" s="114" t="s">
        <v>288</v>
      </c>
      <c r="C114" s="169">
        <v>110274</v>
      </c>
      <c r="D114" s="156" t="s">
        <v>115</v>
      </c>
      <c r="E114" s="157" t="s">
        <v>21</v>
      </c>
      <c r="F114" s="170" t="s">
        <v>279</v>
      </c>
      <c r="G114" s="171">
        <v>100</v>
      </c>
      <c r="J114" s="252" t="s">
        <v>268</v>
      </c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6">
        <f t="shared" si="0"/>
        <v>0</v>
      </c>
    </row>
    <row r="115" spans="1:23">
      <c r="A115" s="181" t="s">
        <v>274</v>
      </c>
      <c r="B115" s="114" t="s">
        <v>1353</v>
      </c>
      <c r="C115" s="169">
        <v>110274</v>
      </c>
      <c r="D115" s="156" t="s">
        <v>115</v>
      </c>
      <c r="E115" s="157" t="s">
        <v>21</v>
      </c>
      <c r="F115" s="170" t="s">
        <v>279</v>
      </c>
      <c r="G115" s="171">
        <v>20</v>
      </c>
      <c r="J115" s="252" t="s">
        <v>272</v>
      </c>
      <c r="K115" s="314"/>
      <c r="L115" s="314"/>
      <c r="M115" s="314"/>
      <c r="N115" s="314"/>
      <c r="O115" s="314">
        <v>0</v>
      </c>
      <c r="P115" s="314"/>
      <c r="Q115" s="314"/>
      <c r="R115" s="314">
        <v>0</v>
      </c>
      <c r="S115" s="314"/>
      <c r="T115" s="314">
        <v>0</v>
      </c>
      <c r="U115" s="314"/>
      <c r="V115" s="314"/>
      <c r="W115" s="316">
        <f t="shared" si="0"/>
        <v>0</v>
      </c>
    </row>
    <row r="116" spans="1:23">
      <c r="A116" s="181" t="s">
        <v>275</v>
      </c>
      <c r="B116" s="114" t="s">
        <v>1354</v>
      </c>
      <c r="C116" s="169">
        <v>110274</v>
      </c>
      <c r="D116" s="156" t="s">
        <v>115</v>
      </c>
      <c r="E116" s="157" t="s">
        <v>21</v>
      </c>
      <c r="F116" s="170" t="s">
        <v>279</v>
      </c>
      <c r="G116" s="171">
        <v>10</v>
      </c>
      <c r="J116" s="252" t="s">
        <v>273</v>
      </c>
      <c r="K116" s="314"/>
      <c r="L116" s="314"/>
      <c r="M116" s="314"/>
      <c r="N116" s="314"/>
      <c r="O116" s="314">
        <v>0</v>
      </c>
      <c r="P116" s="314"/>
      <c r="Q116" s="314"/>
      <c r="R116" s="314">
        <v>0</v>
      </c>
      <c r="S116" s="314"/>
      <c r="T116" s="314">
        <v>0</v>
      </c>
      <c r="U116" s="314"/>
      <c r="V116" s="314"/>
      <c r="W116" s="316">
        <f t="shared" si="0"/>
        <v>0</v>
      </c>
    </row>
    <row r="117" spans="1:23">
      <c r="A117" s="181" t="s">
        <v>276</v>
      </c>
      <c r="B117" s="114" t="s">
        <v>1355</v>
      </c>
      <c r="C117" s="169">
        <v>110274</v>
      </c>
      <c r="D117" s="156" t="s">
        <v>115</v>
      </c>
      <c r="E117" s="157" t="s">
        <v>21</v>
      </c>
      <c r="F117" s="170" t="s">
        <v>279</v>
      </c>
      <c r="G117" s="171">
        <v>5</v>
      </c>
      <c r="J117" s="315" t="s">
        <v>1356</v>
      </c>
      <c r="K117" s="314">
        <v>60</v>
      </c>
      <c r="L117" s="314"/>
      <c r="M117" s="314">
        <v>40</v>
      </c>
      <c r="N117" s="314"/>
      <c r="O117" s="314">
        <v>40</v>
      </c>
      <c r="P117" s="314"/>
      <c r="Q117" s="314"/>
      <c r="R117" s="314"/>
      <c r="S117" s="314"/>
      <c r="T117" s="314"/>
      <c r="U117" s="314"/>
      <c r="V117" s="314"/>
      <c r="W117" s="316">
        <f t="shared" si="0"/>
        <v>140</v>
      </c>
    </row>
    <row r="118" spans="1:23">
      <c r="J118" s="315" t="s">
        <v>1357</v>
      </c>
      <c r="K118" s="314"/>
      <c r="L118" s="314"/>
      <c r="M118" s="314"/>
      <c r="N118" s="314"/>
      <c r="O118" s="314"/>
      <c r="P118" s="314"/>
      <c r="Q118" s="314">
        <v>40</v>
      </c>
      <c r="R118" s="314"/>
      <c r="S118" s="314"/>
      <c r="T118" s="314"/>
      <c r="U118" s="314"/>
      <c r="V118" s="314"/>
      <c r="W118" s="316">
        <f t="shared" si="0"/>
        <v>40</v>
      </c>
    </row>
    <row r="119" spans="1:23">
      <c r="J119" s="315" t="s">
        <v>1358</v>
      </c>
      <c r="K119" s="314"/>
      <c r="L119" s="314"/>
      <c r="M119" s="314"/>
      <c r="N119" s="314"/>
      <c r="O119" s="314"/>
      <c r="P119" s="314">
        <v>40</v>
      </c>
      <c r="Q119" s="314"/>
      <c r="R119" s="314"/>
      <c r="S119" s="314"/>
      <c r="T119" s="314"/>
      <c r="U119" s="314"/>
      <c r="V119" s="314"/>
      <c r="W119" s="316">
        <f t="shared" si="0"/>
        <v>40</v>
      </c>
    </row>
    <row r="120" spans="1:23">
      <c r="J120" s="315" t="s">
        <v>1359</v>
      </c>
      <c r="K120" s="314"/>
      <c r="L120" s="314">
        <v>40</v>
      </c>
      <c r="M120" s="314"/>
      <c r="N120" s="314">
        <v>40</v>
      </c>
      <c r="O120" s="314"/>
      <c r="P120" s="314"/>
      <c r="Q120" s="314"/>
      <c r="R120" s="314"/>
      <c r="S120" s="314"/>
      <c r="T120" s="314"/>
      <c r="U120" s="314"/>
      <c r="V120" s="314"/>
      <c r="W120" s="316">
        <f t="shared" si="0"/>
        <v>80</v>
      </c>
    </row>
    <row r="121" spans="1:23">
      <c r="J121" s="315" t="s">
        <v>1360</v>
      </c>
      <c r="K121" s="314"/>
      <c r="L121" s="314"/>
      <c r="M121" s="314"/>
      <c r="N121" s="314"/>
      <c r="O121" s="314"/>
      <c r="P121" s="314"/>
      <c r="Q121" s="314"/>
      <c r="R121" s="314"/>
      <c r="S121" s="314"/>
      <c r="T121" s="314"/>
      <c r="U121" s="314">
        <v>10</v>
      </c>
      <c r="V121" s="314"/>
      <c r="W121" s="316">
        <f t="shared" si="0"/>
        <v>10</v>
      </c>
    </row>
    <row r="122" spans="1:23">
      <c r="J122" s="315" t="s">
        <v>1361</v>
      </c>
      <c r="K122" s="314"/>
      <c r="L122" s="314"/>
      <c r="M122" s="314"/>
      <c r="N122" s="314"/>
      <c r="O122" s="314"/>
      <c r="P122" s="314"/>
      <c r="Q122" s="314"/>
      <c r="R122" s="314">
        <v>40</v>
      </c>
      <c r="S122" s="314"/>
      <c r="T122" s="314"/>
      <c r="U122" s="314"/>
      <c r="V122" s="314">
        <v>10</v>
      </c>
      <c r="W122" s="316">
        <f t="shared" si="0"/>
        <v>50</v>
      </c>
    </row>
    <row r="123" spans="1:23">
      <c r="J123" s="315" t="s">
        <v>1362</v>
      </c>
      <c r="K123" s="314"/>
      <c r="L123" s="314"/>
      <c r="M123" s="314"/>
      <c r="N123" s="314"/>
      <c r="O123" s="314"/>
      <c r="P123" s="314"/>
      <c r="Q123" s="314"/>
      <c r="R123" s="314"/>
      <c r="S123" s="314"/>
      <c r="T123" s="314"/>
      <c r="U123" s="314"/>
      <c r="V123" s="314"/>
      <c r="W123" s="316">
        <f t="shared" si="0"/>
        <v>0</v>
      </c>
    </row>
    <row r="124" spans="1:23">
      <c r="J124" s="315" t="s">
        <v>1363</v>
      </c>
      <c r="K124" s="314"/>
      <c r="L124" s="314"/>
      <c r="M124" s="314"/>
      <c r="N124" s="314"/>
      <c r="O124" s="314"/>
      <c r="P124" s="314"/>
      <c r="Q124" s="314"/>
      <c r="R124" s="314"/>
      <c r="S124" s="314"/>
      <c r="T124" s="314"/>
      <c r="U124" s="314"/>
      <c r="V124" s="314"/>
      <c r="W124" s="316">
        <f t="shared" si="0"/>
        <v>0</v>
      </c>
    </row>
    <row r="125" spans="1:23">
      <c r="D125" s="318" t="s">
        <v>1364</v>
      </c>
      <c r="E125" s="315" t="s">
        <v>1365</v>
      </c>
      <c r="F125" s="317">
        <v>13000</v>
      </c>
      <c r="J125" s="315" t="s">
        <v>1366</v>
      </c>
      <c r="K125" s="314"/>
      <c r="L125" s="314"/>
      <c r="M125" s="314"/>
      <c r="N125" s="314"/>
      <c r="O125" s="314"/>
      <c r="P125" s="314"/>
      <c r="Q125" s="314"/>
      <c r="R125" s="314"/>
      <c r="S125" s="314"/>
      <c r="T125" s="314"/>
      <c r="U125" s="314"/>
      <c r="V125" s="314"/>
      <c r="W125" s="316">
        <f t="shared" si="0"/>
        <v>0</v>
      </c>
    </row>
    <row r="126" spans="1:23">
      <c r="J126" s="319" t="s">
        <v>1367</v>
      </c>
      <c r="U126" s="316">
        <f t="shared" ref="U126:U136" si="1">SUM(K126:T126)</f>
        <v>0</v>
      </c>
    </row>
    <row r="127" spans="1:23">
      <c r="U127" s="316">
        <f t="shared" si="1"/>
        <v>0</v>
      </c>
    </row>
    <row r="128" spans="1:23">
      <c r="D128" s="315" t="s">
        <v>1368</v>
      </c>
      <c r="E128" s="317">
        <v>10500</v>
      </c>
      <c r="I128" s="317">
        <v>10500</v>
      </c>
      <c r="J128" s="315" t="s">
        <v>1356</v>
      </c>
      <c r="K128">
        <v>50</v>
      </c>
      <c r="M128">
        <v>50</v>
      </c>
      <c r="O128">
        <v>40</v>
      </c>
      <c r="R128">
        <v>30</v>
      </c>
      <c r="U128" s="316">
        <f t="shared" si="1"/>
        <v>170</v>
      </c>
    </row>
    <row r="129" spans="3:21">
      <c r="D129" s="315" t="s">
        <v>1369</v>
      </c>
      <c r="E129" s="317">
        <v>9900</v>
      </c>
      <c r="I129" s="317">
        <v>9900</v>
      </c>
      <c r="J129" s="315" t="s">
        <v>1357</v>
      </c>
      <c r="U129" s="316">
        <f t="shared" si="1"/>
        <v>0</v>
      </c>
    </row>
    <row r="130" spans="3:21">
      <c r="D130" s="315" t="s">
        <v>1370</v>
      </c>
      <c r="E130" s="317">
        <v>9900</v>
      </c>
      <c r="I130" s="317">
        <v>9900</v>
      </c>
      <c r="J130" s="315" t="s">
        <v>1358</v>
      </c>
      <c r="K130">
        <v>40</v>
      </c>
      <c r="M130">
        <v>20</v>
      </c>
      <c r="O130">
        <v>30</v>
      </c>
      <c r="U130" s="316">
        <f t="shared" si="1"/>
        <v>90</v>
      </c>
    </row>
    <row r="131" spans="3:21">
      <c r="D131" s="315" t="s">
        <v>1371</v>
      </c>
      <c r="E131" s="317">
        <v>9900</v>
      </c>
      <c r="I131" s="317">
        <v>9900</v>
      </c>
      <c r="J131" s="315" t="s">
        <v>1359</v>
      </c>
      <c r="K131">
        <v>30</v>
      </c>
      <c r="O131">
        <v>30</v>
      </c>
      <c r="U131" s="316">
        <f t="shared" si="1"/>
        <v>60</v>
      </c>
    </row>
    <row r="132" spans="3:21">
      <c r="D132" s="315" t="s">
        <v>1372</v>
      </c>
      <c r="E132" s="317">
        <v>10600</v>
      </c>
      <c r="I132" s="317">
        <v>10600</v>
      </c>
      <c r="J132" s="315" t="s">
        <v>1360</v>
      </c>
      <c r="O132">
        <v>20</v>
      </c>
      <c r="U132" s="316">
        <f t="shared" si="1"/>
        <v>20</v>
      </c>
    </row>
    <row r="133" spans="3:21">
      <c r="D133" s="315" t="s">
        <v>1373</v>
      </c>
      <c r="E133" s="317">
        <v>9900</v>
      </c>
      <c r="I133" s="317">
        <v>9900</v>
      </c>
      <c r="J133" s="315" t="s">
        <v>1361</v>
      </c>
      <c r="K133">
        <v>40</v>
      </c>
      <c r="O133">
        <v>80</v>
      </c>
      <c r="U133" s="316">
        <f t="shared" si="1"/>
        <v>120</v>
      </c>
    </row>
    <row r="134" spans="3:21">
      <c r="D134" s="315" t="s">
        <v>1374</v>
      </c>
      <c r="E134" s="317">
        <v>9600</v>
      </c>
      <c r="I134" s="317">
        <v>9600</v>
      </c>
      <c r="J134" s="315" t="s">
        <v>1362</v>
      </c>
      <c r="O134">
        <v>20</v>
      </c>
      <c r="U134" s="316">
        <f t="shared" si="1"/>
        <v>20</v>
      </c>
    </row>
    <row r="135" spans="3:21">
      <c r="D135" s="315" t="s">
        <v>1375</v>
      </c>
      <c r="E135" s="317">
        <v>7400</v>
      </c>
      <c r="I135" s="317">
        <v>7100</v>
      </c>
      <c r="J135" s="315" t="s">
        <v>1363</v>
      </c>
      <c r="O135">
        <v>2</v>
      </c>
      <c r="U135" s="316">
        <f t="shared" si="1"/>
        <v>2</v>
      </c>
    </row>
    <row r="136" spans="3:21">
      <c r="D136" s="315" t="s">
        <v>1376</v>
      </c>
      <c r="E136" s="317">
        <v>15000</v>
      </c>
      <c r="I136" s="317">
        <v>15000</v>
      </c>
      <c r="J136" s="315" t="s">
        <v>1366</v>
      </c>
      <c r="K136">
        <v>10</v>
      </c>
      <c r="O136">
        <v>30</v>
      </c>
      <c r="U136" s="316">
        <f t="shared" si="1"/>
        <v>40</v>
      </c>
    </row>
    <row r="137" spans="3:21">
      <c r="C137" s="315" t="s">
        <v>1553</v>
      </c>
      <c r="D137" s="315" t="s">
        <v>1554</v>
      </c>
      <c r="E137" s="317">
        <v>15225</v>
      </c>
      <c r="I137" s="320">
        <v>13000</v>
      </c>
      <c r="J137" s="319" t="s">
        <v>1367</v>
      </c>
    </row>
    <row r="138" spans="3:21">
      <c r="C138" s="315" t="s">
        <v>1555</v>
      </c>
      <c r="D138" s="315" t="s">
        <v>1556</v>
      </c>
      <c r="E138" s="317">
        <v>16275</v>
      </c>
    </row>
    <row r="139" spans="3:21">
      <c r="C139" s="315" t="s">
        <v>1557</v>
      </c>
      <c r="D139" s="315" t="s">
        <v>1558</v>
      </c>
      <c r="E139" s="317">
        <v>17775</v>
      </c>
    </row>
    <row r="140" spans="3:21">
      <c r="C140" s="315" t="s">
        <v>1559</v>
      </c>
      <c r="D140" s="315" t="s">
        <v>1560</v>
      </c>
      <c r="E140" s="317">
        <v>17775</v>
      </c>
    </row>
    <row r="141" spans="3:21">
      <c r="C141" s="315" t="s">
        <v>1561</v>
      </c>
      <c r="D141" s="315" t="s">
        <v>1562</v>
      </c>
      <c r="E141" s="317">
        <v>33600</v>
      </c>
    </row>
    <row r="142" spans="3:21">
      <c r="C142" s="315" t="s">
        <v>1551</v>
      </c>
      <c r="D142" s="315" t="s">
        <v>1552</v>
      </c>
      <c r="E142" s="317">
        <v>13950</v>
      </c>
    </row>
    <row r="144" spans="3:21">
      <c r="D144" s="400" t="s">
        <v>1502</v>
      </c>
      <c r="E144" s="401" t="s">
        <v>1503</v>
      </c>
      <c r="F144" s="401" t="s">
        <v>1500</v>
      </c>
      <c r="G144" s="401" t="s">
        <v>1501</v>
      </c>
      <c r="H144" s="665" t="s">
        <v>1504</v>
      </c>
      <c r="I144" s="400" t="s">
        <v>1502</v>
      </c>
      <c r="J144" s="401" t="s">
        <v>1503</v>
      </c>
      <c r="K144" s="401" t="s">
        <v>1500</v>
      </c>
      <c r="L144" s="401" t="s">
        <v>1501</v>
      </c>
    </row>
    <row r="145" spans="4:12">
      <c r="D145" s="397">
        <v>7205</v>
      </c>
      <c r="E145" s="314">
        <v>54</v>
      </c>
      <c r="F145" s="398">
        <v>17775</v>
      </c>
      <c r="G145" s="398">
        <f>E145*F145</f>
        <v>959850</v>
      </c>
      <c r="H145" s="666"/>
      <c r="I145" s="398">
        <v>301</v>
      </c>
      <c r="J145" s="398">
        <v>200</v>
      </c>
      <c r="K145" s="398">
        <v>9900</v>
      </c>
      <c r="L145" s="398">
        <f>J145*K145</f>
        <v>1980000</v>
      </c>
    </row>
    <row r="146" spans="4:12">
      <c r="D146" s="397">
        <v>7206</v>
      </c>
      <c r="E146" s="314">
        <v>226</v>
      </c>
      <c r="F146" s="398">
        <v>17775</v>
      </c>
      <c r="G146" s="398">
        <f t="shared" ref="G146:G148" si="2">E146*F146</f>
        <v>4017150</v>
      </c>
      <c r="H146" s="666"/>
      <c r="I146" s="398">
        <v>303</v>
      </c>
      <c r="J146" s="398">
        <v>80</v>
      </c>
      <c r="K146" s="398">
        <v>10600</v>
      </c>
      <c r="L146" s="398">
        <f t="shared" ref="L146:L148" si="3">J146*K146</f>
        <v>848000</v>
      </c>
    </row>
    <row r="147" spans="4:12">
      <c r="D147" s="397" t="s">
        <v>1498</v>
      </c>
      <c r="E147" s="314">
        <v>144</v>
      </c>
      <c r="F147" s="398">
        <v>30700</v>
      </c>
      <c r="G147" s="398">
        <f t="shared" si="2"/>
        <v>4420800</v>
      </c>
      <c r="H147" s="666"/>
      <c r="I147" s="398">
        <v>313</v>
      </c>
      <c r="J147" s="398">
        <v>70</v>
      </c>
      <c r="K147" s="398">
        <v>9900</v>
      </c>
      <c r="L147" s="398">
        <f t="shared" si="3"/>
        <v>693000</v>
      </c>
    </row>
    <row r="148" spans="4:12">
      <c r="D148" s="397" t="s">
        <v>1499</v>
      </c>
      <c r="E148" s="314">
        <v>54</v>
      </c>
      <c r="F148" s="398">
        <v>33600</v>
      </c>
      <c r="G148" s="398">
        <f t="shared" si="2"/>
        <v>1814400</v>
      </c>
      <c r="H148" s="667"/>
      <c r="I148" s="398">
        <v>310</v>
      </c>
      <c r="J148" s="398">
        <v>128</v>
      </c>
      <c r="K148" s="398">
        <v>15000</v>
      </c>
      <c r="L148" s="398">
        <f t="shared" si="3"/>
        <v>1920000</v>
      </c>
    </row>
    <row r="149" spans="4:12">
      <c r="E149" s="403">
        <f>SUM(E145:E148)</f>
        <v>478</v>
      </c>
      <c r="F149" s="399"/>
      <c r="G149" s="402">
        <f>SUM(G145:G148)</f>
        <v>11212200</v>
      </c>
      <c r="H149" s="399"/>
      <c r="I149" s="399"/>
      <c r="J149" s="402">
        <f>SUM(J145:J148)</f>
        <v>478</v>
      </c>
      <c r="K149" s="399"/>
      <c r="L149" s="402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www.w3.org/XML/1998/namespace"/>
    <ds:schemaRef ds:uri="efa1766b-290e-4930-94b4-5079da17b09c"/>
    <ds:schemaRef ds:uri="http://schemas.openxmlformats.org/package/2006/metadata/core-properties"/>
    <ds:schemaRef ds:uri="dcec4b07-66e7-4e8f-b2bb-0bd07e3b5177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2024-02-21T05:36:02Z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